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516f17199908f130/桌面/Side Projects/"/>
    </mc:Choice>
  </mc:AlternateContent>
  <xr:revisionPtr revIDLastSave="23" documentId="13_ncr:1_{C540209C-63E6-4D08-9A24-AD7EBC73CBD7}" xr6:coauthVersionLast="47" xr6:coauthVersionMax="47" xr10:uidLastSave="{C5971E04-9A83-4472-A942-1CABB7DAC95D}"/>
  <bookViews>
    <workbookView xWindow="-120" yWindow="-120" windowWidth="29040" windowHeight="15720" tabRatio="500" activeTab="3" xr2:uid="{00000000-000D-0000-FFFF-FFFF00000000}"/>
  </bookViews>
  <sheets>
    <sheet name="Cover" sheetId="1" r:id="rId1"/>
    <sheet name="Drivers &amp; Assumptions" sheetId="2" r:id="rId2"/>
    <sheet name="Model" sheetId="3" r:id="rId3"/>
    <sheet name="Valuation (DCF &amp; WACC)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4" l="1"/>
  <c r="C43" i="4"/>
  <c r="C41" i="4"/>
  <c r="H23" i="4"/>
  <c r="G23" i="4"/>
  <c r="F23" i="4"/>
  <c r="E23" i="4"/>
  <c r="D23" i="4"/>
  <c r="C17" i="4"/>
  <c r="C16" i="4"/>
  <c r="C15" i="4"/>
  <c r="C8" i="4"/>
  <c r="C6" i="4"/>
  <c r="C7" i="4" s="1"/>
  <c r="F90" i="3"/>
  <c r="E87" i="3"/>
  <c r="D87" i="3"/>
  <c r="C87" i="3"/>
  <c r="J85" i="3"/>
  <c r="I85" i="3"/>
  <c r="H85" i="3"/>
  <c r="G85" i="3"/>
  <c r="F85" i="3"/>
  <c r="F84" i="3"/>
  <c r="F87" i="3" s="1"/>
  <c r="J83" i="3"/>
  <c r="I83" i="3"/>
  <c r="H83" i="3"/>
  <c r="G83" i="3"/>
  <c r="F83" i="3"/>
  <c r="E81" i="3"/>
  <c r="D81" i="3"/>
  <c r="C81" i="3"/>
  <c r="G79" i="3"/>
  <c r="F79" i="3"/>
  <c r="I70" i="3"/>
  <c r="J70" i="3" s="1"/>
  <c r="G70" i="3"/>
  <c r="H70" i="3" s="1"/>
  <c r="F70" i="3"/>
  <c r="F58" i="3" s="1"/>
  <c r="F69" i="3"/>
  <c r="D25" i="4" s="1"/>
  <c r="E62" i="3"/>
  <c r="D62" i="3"/>
  <c r="C62" i="3"/>
  <c r="F61" i="3"/>
  <c r="G61" i="3" s="1"/>
  <c r="H61" i="3" s="1"/>
  <c r="I61" i="3" s="1"/>
  <c r="J61" i="3" s="1"/>
  <c r="F60" i="3"/>
  <c r="G60" i="3" s="1"/>
  <c r="H60" i="3" s="1"/>
  <c r="I60" i="3" s="1"/>
  <c r="J60" i="3" s="1"/>
  <c r="G58" i="3"/>
  <c r="H58" i="3" s="1"/>
  <c r="I58" i="3" s="1"/>
  <c r="J58" i="3" s="1"/>
  <c r="G57" i="3"/>
  <c r="H57" i="3" s="1"/>
  <c r="I57" i="3" s="1"/>
  <c r="J57" i="3" s="1"/>
  <c r="F57" i="3"/>
  <c r="F56" i="3"/>
  <c r="E54" i="3"/>
  <c r="E63" i="3" s="1"/>
  <c r="D54" i="3"/>
  <c r="D63" i="3" s="1"/>
  <c r="F53" i="3"/>
  <c r="G53" i="3" s="1"/>
  <c r="H53" i="3" s="1"/>
  <c r="I53" i="3" s="1"/>
  <c r="J53" i="3" s="1"/>
  <c r="F52" i="3"/>
  <c r="G52" i="3" s="1"/>
  <c r="H52" i="3" s="1"/>
  <c r="I52" i="3" s="1"/>
  <c r="J52" i="3" s="1"/>
  <c r="F51" i="3"/>
  <c r="G51" i="3" s="1"/>
  <c r="H51" i="3" s="1"/>
  <c r="I51" i="3" s="1"/>
  <c r="J51" i="3" s="1"/>
  <c r="F50" i="3"/>
  <c r="G50" i="3" s="1"/>
  <c r="H50" i="3" s="1"/>
  <c r="I50" i="3" s="1"/>
  <c r="J50" i="3" s="1"/>
  <c r="E49" i="3"/>
  <c r="D49" i="3"/>
  <c r="C49" i="3"/>
  <c r="C54" i="3" s="1"/>
  <c r="C63" i="3" s="1"/>
  <c r="F47" i="3"/>
  <c r="G47" i="3" s="1"/>
  <c r="H47" i="3" s="1"/>
  <c r="I47" i="3" s="1"/>
  <c r="J47" i="3" s="1"/>
  <c r="F46" i="3"/>
  <c r="G46" i="3" s="1"/>
  <c r="H46" i="3" s="1"/>
  <c r="I46" i="3" s="1"/>
  <c r="J46" i="3" s="1"/>
  <c r="F44" i="3"/>
  <c r="F17" i="3" s="1"/>
  <c r="G40" i="3"/>
  <c r="H40" i="3" s="1"/>
  <c r="I40" i="3" s="1"/>
  <c r="J40" i="3" s="1"/>
  <c r="F40" i="3"/>
  <c r="G39" i="3"/>
  <c r="H39" i="3" s="1"/>
  <c r="I39" i="3" s="1"/>
  <c r="J39" i="3" s="1"/>
  <c r="F39" i="3"/>
  <c r="F38" i="3"/>
  <c r="G38" i="3" s="1"/>
  <c r="H38" i="3" s="1"/>
  <c r="I38" i="3" s="1"/>
  <c r="J38" i="3" s="1"/>
  <c r="F37" i="3"/>
  <c r="G37" i="3" s="1"/>
  <c r="H37" i="3" s="1"/>
  <c r="I37" i="3" s="1"/>
  <c r="J37" i="3" s="1"/>
  <c r="G36" i="3"/>
  <c r="H36" i="3" s="1"/>
  <c r="I36" i="3" s="1"/>
  <c r="J36" i="3" s="1"/>
  <c r="F36" i="3"/>
  <c r="E35" i="3"/>
  <c r="D35" i="3"/>
  <c r="C35" i="3"/>
  <c r="D17" i="2" s="1"/>
  <c r="F34" i="3"/>
  <c r="E32" i="3"/>
  <c r="E41" i="3" s="1"/>
  <c r="D32" i="3"/>
  <c r="D41" i="3" s="1"/>
  <c r="C32" i="3"/>
  <c r="F31" i="3"/>
  <c r="G31" i="3" s="1"/>
  <c r="H31" i="3" s="1"/>
  <c r="I31" i="3" s="1"/>
  <c r="J31" i="3" s="1"/>
  <c r="G28" i="3"/>
  <c r="H28" i="3" s="1"/>
  <c r="H79" i="3" s="1"/>
  <c r="F28" i="3"/>
  <c r="F23" i="3"/>
  <c r="G23" i="3" s="1"/>
  <c r="H23" i="3" s="1"/>
  <c r="I23" i="3" s="1"/>
  <c r="J23" i="3" s="1"/>
  <c r="E18" i="3"/>
  <c r="E13" i="2" s="1"/>
  <c r="D18" i="3"/>
  <c r="D13" i="2" s="1"/>
  <c r="C18" i="3"/>
  <c r="E15" i="3"/>
  <c r="D15" i="3"/>
  <c r="F12" i="3"/>
  <c r="E11" i="3"/>
  <c r="D11" i="3"/>
  <c r="C11" i="3"/>
  <c r="C15" i="3" s="1"/>
  <c r="F9" i="3"/>
  <c r="E31" i="2"/>
  <c r="D31" i="2"/>
  <c r="C31" i="2"/>
  <c r="E30" i="2"/>
  <c r="D30" i="2"/>
  <c r="E27" i="2"/>
  <c r="D27" i="2"/>
  <c r="C27" i="2"/>
  <c r="E26" i="2"/>
  <c r="D26" i="2"/>
  <c r="C26" i="2"/>
  <c r="E23" i="2"/>
  <c r="D23" i="2"/>
  <c r="C23" i="2"/>
  <c r="E22" i="2"/>
  <c r="D22" i="2"/>
  <c r="C22" i="2"/>
  <c r="E21" i="2"/>
  <c r="D21" i="2"/>
  <c r="C21" i="2"/>
  <c r="E20" i="2"/>
  <c r="D20" i="2"/>
  <c r="C20" i="2"/>
  <c r="E17" i="2"/>
  <c r="E16" i="2"/>
  <c r="D16" i="2"/>
  <c r="C16" i="2"/>
  <c r="E12" i="2"/>
  <c r="D12" i="2"/>
  <c r="C12" i="2"/>
  <c r="E11" i="2"/>
  <c r="D11" i="2"/>
  <c r="C11" i="2"/>
  <c r="E10" i="2"/>
  <c r="D10" i="2"/>
  <c r="C10" i="2"/>
  <c r="E9" i="2"/>
  <c r="D9" i="2"/>
  <c r="C9" i="2"/>
  <c r="E8" i="2"/>
  <c r="D8" i="2"/>
  <c r="C9" i="4" l="1"/>
  <c r="C11" i="4" s="1"/>
  <c r="F29" i="3"/>
  <c r="F75" i="3"/>
  <c r="F48" i="3" s="1"/>
  <c r="F78" i="3"/>
  <c r="F33" i="3"/>
  <c r="F13" i="3"/>
  <c r="F16" i="3"/>
  <c r="F10" i="3"/>
  <c r="G9" i="3"/>
  <c r="C13" i="2"/>
  <c r="C20" i="3"/>
  <c r="C68" i="3" s="1"/>
  <c r="C76" i="3" s="1"/>
  <c r="C89" i="3" s="1"/>
  <c r="C91" i="3" s="1"/>
  <c r="C92" i="3" s="1"/>
  <c r="C41" i="3"/>
  <c r="I28" i="3"/>
  <c r="D20" i="3"/>
  <c r="D68" i="3" s="1"/>
  <c r="D76" i="3" s="1"/>
  <c r="D89" i="3" s="1"/>
  <c r="D91" i="3" s="1"/>
  <c r="D92" i="3" s="1"/>
  <c r="E20" i="3"/>
  <c r="E68" i="3" s="1"/>
  <c r="E76" i="3" s="1"/>
  <c r="C10" i="4"/>
  <c r="C18" i="4" s="1"/>
  <c r="G44" i="3"/>
  <c r="G56" i="3"/>
  <c r="G84" i="3"/>
  <c r="G17" i="3" l="1"/>
  <c r="H44" i="3"/>
  <c r="E89" i="3"/>
  <c r="E91" i="3" s="1"/>
  <c r="E92" i="3" s="1"/>
  <c r="D26" i="4"/>
  <c r="F81" i="3"/>
  <c r="G87" i="3"/>
  <c r="H84" i="3"/>
  <c r="H56" i="3"/>
  <c r="G29" i="3"/>
  <c r="G78" i="3"/>
  <c r="G16" i="3"/>
  <c r="G13" i="3"/>
  <c r="G10" i="3"/>
  <c r="H9" i="3"/>
  <c r="G75" i="3"/>
  <c r="G12" i="3"/>
  <c r="G11" i="3"/>
  <c r="F45" i="3"/>
  <c r="F30" i="3"/>
  <c r="F73" i="3" s="1"/>
  <c r="F11" i="3"/>
  <c r="F15" i="3" s="1"/>
  <c r="E30" i="4"/>
  <c r="D30" i="4"/>
  <c r="F30" i="4"/>
  <c r="H30" i="4"/>
  <c r="G30" i="4"/>
  <c r="F35" i="3"/>
  <c r="G33" i="3"/>
  <c r="G48" i="3"/>
  <c r="I79" i="3"/>
  <c r="J28" i="3"/>
  <c r="J79" i="3" s="1"/>
  <c r="F72" i="3"/>
  <c r="G15" i="3" l="1"/>
  <c r="D27" i="4"/>
  <c r="D22" i="4"/>
  <c r="D24" i="4" s="1"/>
  <c r="D28" i="4" s="1"/>
  <c r="D31" i="4" s="1"/>
  <c r="F18" i="3"/>
  <c r="H87" i="3"/>
  <c r="I84" i="3"/>
  <c r="H33" i="3"/>
  <c r="G69" i="3"/>
  <c r="E25" i="4" s="1"/>
  <c r="G34" i="3"/>
  <c r="G35" i="3" s="1"/>
  <c r="H69" i="3" s="1"/>
  <c r="F25" i="4" s="1"/>
  <c r="G72" i="3"/>
  <c r="E27" i="4"/>
  <c r="I56" i="3"/>
  <c r="F74" i="3"/>
  <c r="F49" i="3"/>
  <c r="F54" i="3" s="1"/>
  <c r="G18" i="3"/>
  <c r="E22" i="4"/>
  <c r="E24" i="4" s="1"/>
  <c r="G45" i="3"/>
  <c r="G30" i="3"/>
  <c r="G73" i="3" s="1"/>
  <c r="I44" i="3"/>
  <c r="H17" i="3"/>
  <c r="H11" i="3"/>
  <c r="I9" i="3"/>
  <c r="H78" i="3"/>
  <c r="H13" i="3"/>
  <c r="H16" i="3"/>
  <c r="H10" i="3"/>
  <c r="H29" i="3"/>
  <c r="H12" i="3"/>
  <c r="H75" i="3"/>
  <c r="H48" i="3" s="1"/>
  <c r="E26" i="4"/>
  <c r="G81" i="3"/>
  <c r="H15" i="3" l="1"/>
  <c r="J9" i="3"/>
  <c r="I16" i="3"/>
  <c r="I13" i="3"/>
  <c r="I10" i="3"/>
  <c r="I12" i="3"/>
  <c r="I29" i="3"/>
  <c r="I78" i="3"/>
  <c r="I75" i="3"/>
  <c r="I48" i="3" s="1"/>
  <c r="H18" i="3"/>
  <c r="F22" i="4"/>
  <c r="F24" i="4" s="1"/>
  <c r="H45" i="3"/>
  <c r="F27" i="4" s="1"/>
  <c r="H30" i="3"/>
  <c r="H73" i="3" s="1"/>
  <c r="G19" i="3"/>
  <c r="G20" i="3" s="1"/>
  <c r="J84" i="3"/>
  <c r="J87" i="3" s="1"/>
  <c r="I87" i="3"/>
  <c r="H34" i="3"/>
  <c r="E28" i="4"/>
  <c r="E31" i="4" s="1"/>
  <c r="F19" i="3"/>
  <c r="F20" i="3"/>
  <c r="J44" i="3"/>
  <c r="I17" i="3"/>
  <c r="I33" i="3"/>
  <c r="G74" i="3"/>
  <c r="G49" i="3"/>
  <c r="G54" i="3" s="1"/>
  <c r="H72" i="3"/>
  <c r="F26" i="4"/>
  <c r="H81" i="3"/>
  <c r="J56" i="3"/>
  <c r="F28" i="4" l="1"/>
  <c r="F31" i="4" s="1"/>
  <c r="G22" i="3"/>
  <c r="G68" i="3"/>
  <c r="G76" i="3" s="1"/>
  <c r="G89" i="3" s="1"/>
  <c r="J17" i="3"/>
  <c r="J33" i="3"/>
  <c r="J16" i="3"/>
  <c r="J13" i="3"/>
  <c r="J10" i="3"/>
  <c r="J11" i="3" s="1"/>
  <c r="J15" i="3" s="1"/>
  <c r="J12" i="3"/>
  <c r="J78" i="3"/>
  <c r="J75" i="3"/>
  <c r="J48" i="3" s="1"/>
  <c r="J29" i="3"/>
  <c r="F22" i="3"/>
  <c r="F59" i="3"/>
  <c r="F68" i="3"/>
  <c r="F76" i="3" s="1"/>
  <c r="F89" i="3" s="1"/>
  <c r="F91" i="3" s="1"/>
  <c r="H19" i="3"/>
  <c r="H20" i="3" s="1"/>
  <c r="G26" i="4"/>
  <c r="I81" i="3"/>
  <c r="I72" i="3"/>
  <c r="I45" i="3"/>
  <c r="I30" i="3"/>
  <c r="I73" i="3" s="1"/>
  <c r="H35" i="3"/>
  <c r="I69" i="3" s="1"/>
  <c r="G25" i="4" s="1"/>
  <c r="I11" i="3"/>
  <c r="I15" i="3" s="1"/>
  <c r="H74" i="3"/>
  <c r="H49" i="3"/>
  <c r="H54" i="3" s="1"/>
  <c r="I34" i="3" l="1"/>
  <c r="J18" i="3"/>
  <c r="H22" i="4"/>
  <c r="H24" i="4" s="1"/>
  <c r="H68" i="3"/>
  <c r="H76" i="3" s="1"/>
  <c r="H89" i="3" s="1"/>
  <c r="H22" i="3"/>
  <c r="J30" i="3"/>
  <c r="J73" i="3" s="1"/>
  <c r="J45" i="3"/>
  <c r="I18" i="3"/>
  <c r="G22" i="4"/>
  <c r="G24" i="4" s="1"/>
  <c r="G28" i="4" s="1"/>
  <c r="G31" i="4" s="1"/>
  <c r="I35" i="3"/>
  <c r="J69" i="3" s="1"/>
  <c r="H25" i="4" s="1"/>
  <c r="G59" i="3"/>
  <c r="F62" i="3"/>
  <c r="F63" i="3" s="1"/>
  <c r="I74" i="3"/>
  <c r="I49" i="3"/>
  <c r="I54" i="3" s="1"/>
  <c r="G27" i="4"/>
  <c r="J72" i="3"/>
  <c r="H26" i="4"/>
  <c r="J81" i="3"/>
  <c r="J34" i="3" l="1"/>
  <c r="J35" i="3" s="1"/>
  <c r="J74" i="3"/>
  <c r="J49" i="3"/>
  <c r="J54" i="3" s="1"/>
  <c r="I19" i="3"/>
  <c r="I20" i="3" s="1"/>
  <c r="H27" i="4"/>
  <c r="H28" i="4" s="1"/>
  <c r="H59" i="3"/>
  <c r="G62" i="3"/>
  <c r="G63" i="3" s="1"/>
  <c r="F27" i="3"/>
  <c r="J19" i="3"/>
  <c r="J20" i="3" s="1"/>
  <c r="I68" i="3" l="1"/>
  <c r="I76" i="3" s="1"/>
  <c r="I89" i="3" s="1"/>
  <c r="I22" i="3"/>
  <c r="J68" i="3"/>
  <c r="J76" i="3" s="1"/>
  <c r="J89" i="3" s="1"/>
  <c r="J22" i="3"/>
  <c r="G90" i="3"/>
  <c r="G91" i="3" s="1"/>
  <c r="F32" i="3"/>
  <c r="F41" i="3" s="1"/>
  <c r="F64" i="3" s="1"/>
  <c r="F92" i="3"/>
  <c r="G27" i="3"/>
  <c r="I59" i="3"/>
  <c r="H62" i="3"/>
  <c r="H63" i="3" s="1"/>
  <c r="C35" i="4"/>
  <c r="C36" i="4" s="1"/>
  <c r="H31" i="4"/>
  <c r="C37" i="4" s="1"/>
  <c r="G92" i="3" l="1"/>
  <c r="H27" i="3"/>
  <c r="J59" i="3"/>
  <c r="J62" i="3" s="1"/>
  <c r="J63" i="3" s="1"/>
  <c r="I62" i="3"/>
  <c r="I63" i="3" s="1"/>
  <c r="H90" i="3"/>
  <c r="H91" i="3" s="1"/>
  <c r="H92" i="3" s="1"/>
  <c r="G32" i="3"/>
  <c r="G41" i="3" s="1"/>
  <c r="G64" i="3" s="1"/>
  <c r="C38" i="4"/>
  <c r="C40" i="4" s="1"/>
  <c r="C42" i="4" l="1"/>
  <c r="I27" i="3"/>
  <c r="I90" i="3"/>
  <c r="I91" i="3" s="1"/>
  <c r="I92" i="3" s="1"/>
  <c r="H32" i="3"/>
  <c r="H41" i="3" s="1"/>
  <c r="H64" i="3" s="1"/>
  <c r="J27" i="3"/>
  <c r="J32" i="3" s="1"/>
  <c r="J41" i="3" s="1"/>
  <c r="J64" i="3" s="1"/>
  <c r="E35" i="4" l="1"/>
  <c r="C44" i="4"/>
  <c r="J90" i="3"/>
  <c r="J91" i="3" s="1"/>
  <c r="J92" i="3" s="1"/>
  <c r="I32" i="3"/>
  <c r="I41" i="3" s="1"/>
  <c r="I64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8" authorId="0" shapeId="0" xr:uid="{00000000-0006-0000-0100-000001000000}">
      <text>
        <r>
          <rPr>
            <sz val="11"/>
            <color theme="1"/>
            <rFont val="Calibri"/>
            <family val="2"/>
            <charset val="1"/>
          </rPr>
          <t>Hist: YoY change in revenue. Proj: FY26-27 from analyst consensus, then stepped down toward a long-run rate.</t>
        </r>
      </text>
    </comment>
    <comment ref="B9" authorId="0" shapeId="0" xr:uid="{00000000-0006-0000-0100-000002000000}">
      <text>
        <r>
          <rPr>
            <sz val="11"/>
            <color theme="1"/>
            <rFont val="Calibri"/>
            <family val="2"/>
            <charset val="1"/>
          </rPr>
          <t>Hist: Gross profit / Revenue. Proj: held flat at 58% (near recent normal).</t>
        </r>
      </text>
    </comment>
    <comment ref="B10" authorId="0" shapeId="0" xr:uid="{00000000-0006-0000-0100-000003000000}">
      <text>
        <r>
          <rPr>
            <sz val="11"/>
            <color theme="1"/>
            <rFont val="Calibri"/>
            <family val="2"/>
            <charset val="1"/>
          </rPr>
          <t>Hist: R&amp;D / Revenue. Proj: held flat at 11.6%.</t>
        </r>
      </text>
    </comment>
    <comment ref="B11" authorId="0" shapeId="0" xr:uid="{00000000-0006-0000-0100-000004000000}">
      <text>
        <r>
          <rPr>
            <sz val="11"/>
            <color theme="1"/>
            <rFont val="Calibri"/>
            <family val="2"/>
            <charset val="1"/>
          </rPr>
          <t>Hist: SG&amp;A / Revenue. Proj: held flat at 10.8%.</t>
        </r>
      </text>
    </comment>
    <comment ref="B12" authorId="0" shapeId="0" xr:uid="{00000000-0006-0000-0100-000005000000}">
      <text>
        <r>
          <rPr>
            <sz val="11"/>
            <color theme="1"/>
            <rFont val="Calibri"/>
            <family val="2"/>
            <charset val="1"/>
          </rPr>
          <t>Hist: OI&amp;E / Revenue. Proj: held flat at 2.3% (small, volatile item).</t>
        </r>
      </text>
    </comment>
    <comment ref="B13" authorId="0" shapeId="0" xr:uid="{00000000-0006-0000-0100-000006000000}">
      <text>
        <r>
          <rPr>
            <sz val="11"/>
            <color theme="1"/>
            <rFont val="Calibri"/>
            <family val="2"/>
            <charset val="1"/>
          </rPr>
          <t>Hist: Tax / Pretax income. Proj: held flat at 12.2% (3-yr norm).</t>
        </r>
      </text>
    </comment>
    <comment ref="B16" authorId="0" shapeId="0" xr:uid="{00000000-0006-0000-0100-000007000000}">
      <text>
        <r>
          <rPr>
            <sz val="11"/>
            <color theme="1"/>
            <rFont val="Calibri"/>
            <family val="2"/>
            <charset val="1"/>
          </rPr>
          <t>Hist: Capex / Revenue. Proj: steps down 24% to 18% as the fab-build cycle ends (mgmt guidance).</t>
        </r>
      </text>
    </comment>
    <comment ref="B17" authorId="0" shapeId="0" xr:uid="{00000000-0006-0000-0100-000008000000}">
      <text>
        <r>
          <rPr>
            <sz val="11"/>
            <color theme="1"/>
            <rFont val="Calibri"/>
            <family val="2"/>
            <charset val="1"/>
          </rPr>
          <t>Hist: D&amp;A / prior-yr net PP&amp;E. Proj: held flat at 16.7% (tracks asset life; $ amount still grows with PP&amp;E).</t>
        </r>
      </text>
    </comment>
    <comment ref="B20" authorId="0" shapeId="0" xr:uid="{00000000-0006-0000-0100-000009000000}">
      <text>
        <r>
          <rPr>
            <sz val="11"/>
            <color theme="1"/>
            <rFont val="Calibri"/>
            <family val="2"/>
            <charset val="1"/>
          </rPr>
          <t>Hist: AR / Revenue x 365. Proj: held flat at 40 days.</t>
        </r>
      </text>
    </comment>
    <comment ref="B21" authorId="0" shapeId="0" xr:uid="{00000000-0006-0000-0100-00000A000000}">
      <text>
        <r>
          <rPr>
            <sz val="11"/>
            <color theme="1"/>
            <rFont val="Calibri"/>
            <family val="2"/>
            <charset val="1"/>
          </rPr>
          <t>Hist: Inventory / COGS x 365. Proj: held flat at 236 (no trend; mgmt holds high inventory).</t>
        </r>
      </text>
    </comment>
    <comment ref="B22" authorId="0" shapeId="0" xr:uid="{00000000-0006-0000-0100-00000B000000}">
      <text>
        <r>
          <rPr>
            <sz val="11"/>
            <color theme="1"/>
            <rFont val="Calibri"/>
            <family val="2"/>
            <charset val="1"/>
          </rPr>
          <t>Hist: AP / COGS x 365. Proj: held flat at 36 days (conservative).</t>
        </r>
      </text>
    </comment>
    <comment ref="B23" authorId="0" shapeId="0" xr:uid="{00000000-0006-0000-0100-00000C000000}">
      <text>
        <r>
          <rPr>
            <sz val="11"/>
            <color theme="1"/>
            <rFont val="Calibri"/>
            <family val="2"/>
            <charset val="1"/>
          </rPr>
          <t>Hist: change in other WC / Revenue. Proj: held flat at 1%.</t>
        </r>
      </text>
    </comment>
    <comment ref="B26" authorId="0" shapeId="0" xr:uid="{00000000-0006-0000-0100-00000D000000}">
      <text>
        <r>
          <rPr>
            <sz val="11"/>
            <color theme="1"/>
            <rFont val="Calibri"/>
            <family val="2"/>
            <charset val="1"/>
          </rPr>
          <t>Hist: interest / total debt. Proj: held flat at 3.9% (used in WACC, not in cash flow).</t>
        </r>
      </text>
    </comment>
    <comment ref="B27" authorId="0" shapeId="0" xr:uid="{00000000-0006-0000-0100-00000E000000}">
      <text>
        <r>
          <rPr>
            <sz val="11"/>
            <color theme="1"/>
            <rFont val="Calibri"/>
            <family val="2"/>
            <charset val="1"/>
          </rPr>
          <t>Hist: from cash flow. Proj: 0 (constant-debt base case).</t>
        </r>
      </text>
    </comment>
    <comment ref="B30" authorId="0" shapeId="0" xr:uid="{00000000-0006-0000-0100-00000F000000}">
      <text>
        <r>
          <rPr>
            <sz val="11"/>
            <color theme="1"/>
            <rFont val="Calibri"/>
            <family val="2"/>
            <charset val="1"/>
          </rPr>
          <t>Hist: YoY DPS growth. Proj: held flat at 4.9% (steady dividend-raise policy).</t>
        </r>
      </text>
    </comment>
    <comment ref="B31" authorId="0" shapeId="0" xr:uid="{00000000-0006-0000-0100-000010000000}">
      <text>
        <r>
          <rPr>
            <sz val="11"/>
            <color theme="1"/>
            <rFont val="Calibri"/>
            <family val="2"/>
            <charset val="1"/>
          </rPr>
          <t>Hist: from cash flow, shown positive. Proj: held flat at 1,500; entered positive, minus added when it links to the cash flow.</t>
        </r>
      </text>
    </comment>
  </commentList>
</comments>
</file>

<file path=xl/sharedStrings.xml><?xml version="1.0" encoding="utf-8"?>
<sst xmlns="http://schemas.openxmlformats.org/spreadsheetml/2006/main" count="219" uniqueCount="182">
  <si>
    <t>Texas Instruments (TXN)</t>
  </si>
  <si>
    <t>Side Project 2 — 3 Statement Model &amp; DCF Valuation</t>
  </si>
  <si>
    <t>Project Information</t>
  </si>
  <si>
    <t>Name</t>
  </si>
  <si>
    <t>Jin-Tang Shen</t>
  </si>
  <si>
    <t>Date Completed</t>
  </si>
  <si>
    <t>Model Purpose</t>
  </si>
  <si>
    <t>A driver-based three-statement model and unlevered DCF valuation of Texas Instruments, built from 10-K historical data to project FY2026 to FY2030 and estimate intrinsic value per share. It demonstrates driver-based forecasting, three-statement linkage, and valuation using real company data.</t>
  </si>
  <si>
    <t>Model Legend</t>
  </si>
  <si>
    <t>Format Type</t>
  </si>
  <si>
    <t>Example</t>
  </si>
  <si>
    <t>Meaning / Description</t>
  </si>
  <si>
    <t>Blue Font</t>
  </si>
  <si>
    <t>ABC</t>
  </si>
  <si>
    <t>Hardcoded Inputs / Historical  data / Assumptions</t>
  </si>
  <si>
    <t>Black Font</t>
  </si>
  <si>
    <t>Formulas &amp; Calculations</t>
  </si>
  <si>
    <t>Green Front</t>
  </si>
  <si>
    <t>Cross-sheet reference</t>
  </si>
  <si>
    <t>Navigation Guide</t>
  </si>
  <si>
    <t xml:space="preserve">Tab 1 — Cover </t>
  </si>
  <si>
    <t>Overview of the model: purpose, colour legend, data sources, and this navigation guide.</t>
  </si>
  <si>
    <t>Tab 2 —  Drivers &amp; Assumptions</t>
  </si>
  <si>
    <t>All forecast assumptions, with the historical ratios they are based on and a note on each.</t>
  </si>
  <si>
    <t>Tab 3 —  Model</t>
  </si>
  <si>
    <t>The three linked financial statements with three years of history and a five-year forecast driven by the assumptions.</t>
  </si>
  <si>
    <t>Tab 4 —  Valuation (DCF &amp; WACC)</t>
  </si>
  <si>
    <t>WACC calculation, the unlevered DCF, and a sensitivity table of implied share price.</t>
  </si>
  <si>
    <t>Data Disclosure</t>
  </si>
  <si>
    <t>Drivers &amp; Assumptions</t>
  </si>
  <si>
    <t>FY2023</t>
  </si>
  <si>
    <t>FY2024</t>
  </si>
  <si>
    <t>FY2025</t>
  </si>
  <si>
    <t>FY2026E</t>
  </si>
  <si>
    <t>FY2027E</t>
  </si>
  <si>
    <t>FY2028E</t>
  </si>
  <si>
    <t>FY2029E</t>
  </si>
  <si>
    <t>FY2030E</t>
  </si>
  <si>
    <t>Historical</t>
  </si>
  <si>
    <t>Projected</t>
  </si>
  <si>
    <t>REVENUE &amp; MARGINS</t>
  </si>
  <si>
    <t>Revenue Growth %</t>
  </si>
  <si>
    <t>-</t>
  </si>
  <si>
    <t>Gross Margin %</t>
  </si>
  <si>
    <t>R&amp;D as % of Revenue</t>
  </si>
  <si>
    <t>SG&amp;A as % of Revenue</t>
  </si>
  <si>
    <t>Other Income (Expense) as % of Revenue</t>
  </si>
  <si>
    <t>Effective Tax Rate %</t>
  </si>
  <si>
    <t>CAPITAL &amp; DEPRECIATION</t>
  </si>
  <si>
    <t>Capex as % of Revenue</t>
  </si>
  <si>
    <t>D&amp;A as % of Beginning PP&amp;E</t>
  </si>
  <si>
    <t>WORKING CAPITAL (DAYS)</t>
  </si>
  <si>
    <t>Days Sales Outstanding (AR)</t>
  </si>
  <si>
    <t>Days Inventory Outstanding</t>
  </si>
  <si>
    <t>Days Payable Outstanding (AP)</t>
  </si>
  <si>
    <t>Other Working Capital as % of Revenue</t>
  </si>
  <si>
    <t>DEBT &amp; INTEREST</t>
  </si>
  <si>
    <t>Effective Interest Rate %</t>
  </si>
  <si>
    <t>Net Debt Issuance / (Repayment) ($mm)</t>
  </si>
  <si>
    <t>CAPITAL RETURN</t>
  </si>
  <si>
    <t>Dividend per Share Growth %</t>
  </si>
  <si>
    <t>Share Repurchase ($mm)</t>
  </si>
  <si>
    <t>Texas Instruments (TXN): Three-Statement Model</t>
  </si>
  <si>
    <t>All figures in US$ millions unless noted.</t>
  </si>
  <si>
    <t>Revenue  (Sales)</t>
  </si>
  <si>
    <t>Cost of revenue (COGS)</t>
  </si>
  <si>
    <t>Gross profit</t>
  </si>
  <si>
    <t>Research and development (R&amp;D)</t>
  </si>
  <si>
    <t>Selling, general and administrative (SG&amp;A)</t>
  </si>
  <si>
    <t>Restructuring charges / other</t>
  </si>
  <si>
    <t>Operating profit (EBIT)</t>
  </si>
  <si>
    <t>Other income (expense), net (OI&amp;E)</t>
  </si>
  <si>
    <t>Interest and debt expense</t>
  </si>
  <si>
    <t>Income before income taxes  (EBT)</t>
  </si>
  <si>
    <t>Provision for income taxes (Income tax expense)</t>
  </si>
  <si>
    <t>Net income</t>
  </si>
  <si>
    <t>Earnings per share, diluted ($/share)</t>
  </si>
  <si>
    <t>Weighted avg shares, diluted</t>
  </si>
  <si>
    <t>Assets</t>
  </si>
  <si>
    <t>Cash and cash equivalents</t>
  </si>
  <si>
    <t>Short-term investments</t>
  </si>
  <si>
    <t>Accounts receivable, net</t>
  </si>
  <si>
    <t>Inventories</t>
  </si>
  <si>
    <t>Prepaid expenses and other current assets</t>
  </si>
  <si>
    <t>Total current assets</t>
  </si>
  <si>
    <t>Property, plant and equipment at cost</t>
  </si>
  <si>
    <t>Accumulated depreciation</t>
  </si>
  <si>
    <t>Property, plant and equipment, net</t>
  </si>
  <si>
    <t>Goodwill</t>
  </si>
  <si>
    <t>Deferred tax assets</t>
  </si>
  <si>
    <t>Capitalized software licenses</t>
  </si>
  <si>
    <t>Overfunded retirement plans</t>
  </si>
  <si>
    <t>Other long-term assets</t>
  </si>
  <si>
    <t>Total assets</t>
  </si>
  <si>
    <t>Liabilities and stockholders' equity</t>
  </si>
  <si>
    <t>Current portion of long-term debt</t>
  </si>
  <si>
    <t>Accounts payable</t>
  </si>
  <si>
    <t>Accrued compensation</t>
  </si>
  <si>
    <t>Income taxes payable</t>
  </si>
  <si>
    <t>Accrued expenses and other liabilities</t>
  </si>
  <si>
    <t>Total current liabilities</t>
  </si>
  <si>
    <t>Long-term debt</t>
  </si>
  <si>
    <t>Underfunded retirement plans</t>
  </si>
  <si>
    <t>Deferred tax liabilities</t>
  </si>
  <si>
    <t>Other long-term liabilities</t>
  </si>
  <si>
    <t>Total liabilities</t>
  </si>
  <si>
    <t>Stockholders' equity</t>
  </si>
  <si>
    <t>Preferred stock (none issued)</t>
  </si>
  <si>
    <t>Common stock</t>
  </si>
  <si>
    <t>Paid-in capital</t>
  </si>
  <si>
    <t>Retained earnings</t>
  </si>
  <si>
    <t>Treasury common stock at cost</t>
  </si>
  <si>
    <t>Accumulated other comprehensive income (loss)</t>
  </si>
  <si>
    <t>Total stockholders' equity</t>
  </si>
  <si>
    <t>Total liabilities and stockholders' equity</t>
  </si>
  <si>
    <t>Balance Sheet Balances</t>
  </si>
  <si>
    <t>Cash flows from operating activities</t>
  </si>
  <si>
    <t>Depreciation and amortization</t>
  </si>
  <si>
    <t>Stock-based compensation</t>
  </si>
  <si>
    <t>Other non-cash adjustments</t>
  </si>
  <si>
    <t>Change in accounts receivable</t>
  </si>
  <si>
    <t>Change in inventories</t>
  </si>
  <si>
    <t>Change in accounts payable and accrued expenses</t>
  </si>
  <si>
    <t>Change in other working capital</t>
  </si>
  <si>
    <t>Cash flows from investing activities</t>
  </si>
  <si>
    <t>Capital expenditures</t>
  </si>
  <si>
    <t>Net (purchases) / proceeds of short-term investments</t>
  </si>
  <si>
    <t>Other investing activities</t>
  </si>
  <si>
    <t>Cash flows from financing activities</t>
  </si>
  <si>
    <t>Net issuance / (repayment) of debt</t>
  </si>
  <si>
    <t>Dividends paid</t>
  </si>
  <si>
    <t>Stock repurchases</t>
  </si>
  <si>
    <t>Other financing activities</t>
  </si>
  <si>
    <t>Net change in cash and cash equivalents</t>
  </si>
  <si>
    <t>Cash and cash equivalents at beginning of period</t>
  </si>
  <si>
    <t>Cash and cash equivalents at end of period</t>
  </si>
  <si>
    <t>Check: End cash - Balance Sheet cash</t>
  </si>
  <si>
    <t>Valuation: DCF &amp; WACC</t>
  </si>
  <si>
    <t>WACC (CAPM)</t>
  </si>
  <si>
    <t>Share Price (7/17/2026)</t>
  </si>
  <si>
    <t>Diluted Shares Outstanding</t>
  </si>
  <si>
    <t>Market Value of Equity (E)</t>
  </si>
  <si>
    <t>Total Debt (D)</t>
  </si>
  <si>
    <t>Total Capital (V = E + D)</t>
  </si>
  <si>
    <t>Weight of Equity (E/V)</t>
  </si>
  <si>
    <t>Weight of Debt (D/V)</t>
  </si>
  <si>
    <t>Risk-free Rate</t>
  </si>
  <si>
    <t>sourse: https://fred.stlouisfed.org/series/DGS10</t>
  </si>
  <si>
    <t>Market Risk Premium</t>
  </si>
  <si>
    <t>sourse: https://pages.stern.nyu.edu/~adamodar/</t>
  </si>
  <si>
    <t>sourse: https://finance.yahoo.com/quote/TXN/key-statistics/</t>
  </si>
  <si>
    <t>Cost of Debt</t>
  </si>
  <si>
    <t>Tax Rate</t>
  </si>
  <si>
    <t>WACC</t>
  </si>
  <si>
    <t>Unlevered free cash flow</t>
  </si>
  <si>
    <t>EBIT</t>
  </si>
  <si>
    <t>NOPAT</t>
  </si>
  <si>
    <t>D&amp;A</t>
  </si>
  <si>
    <t>Less: Capital Expenditures</t>
  </si>
  <si>
    <t>Less: Change in Net Working Capital</t>
  </si>
  <si>
    <t>Discount Period</t>
  </si>
  <si>
    <t>Discount Factor</t>
  </si>
  <si>
    <t>PV of Free Cash Flow</t>
  </si>
  <si>
    <t>Terminal Growth Rate (perpetuity)</t>
  </si>
  <si>
    <t>Terminal Value (undiscounted)</t>
  </si>
  <si>
    <t>PV of Terminal Value</t>
  </si>
  <si>
    <t>Sum of PV of Free Cash Flows</t>
  </si>
  <si>
    <t>Enterprise Value</t>
  </si>
  <si>
    <t>Less: Net Debt (T0)</t>
  </si>
  <si>
    <t>Equity Value</t>
  </si>
  <si>
    <t>Implied Value per Share</t>
  </si>
  <si>
    <t>Current Share Price (for reference)</t>
  </si>
  <si>
    <t>Cost of Equity</t>
  </si>
  <si>
    <t>Beta</t>
  </si>
  <si>
    <t>10-K (FY2023–FY2025) — historical financial statements
Yahoo Finance — near-term revenue consensus
Bernstein conference call (May 28, 2026) — capex and capacity outlook
Historical FY2023–FY2025 ratios — other assumptions</t>
  </si>
  <si>
    <t>Premium/Discount</t>
  </si>
  <si>
    <t>Unlevered Free Cash Flow</t>
  </si>
  <si>
    <t>Terminal Value &amp; Enterprise Value</t>
  </si>
  <si>
    <t>Sensitivity: Implied Share Price (WACC vs Terminal Growth)</t>
  </si>
  <si>
    <t>Cash Flow Statement</t>
  </si>
  <si>
    <t>Balance Sheet</t>
  </si>
  <si>
    <t>Income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</si>
</sst>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#,##0;\(#,##0\);\-"/>
    <numFmt numFmtId="167" formatCode="0.000"/>
  </numFmts>
  <fonts count="40" x14ac:knownFonts="1">
    <font>
      <sz val="11"/>
      <color theme="1"/>
      <name val="Calibri"/>
      <family val="2"/>
      <charset val="1"/>
    </font>
    <font>
      <b/>
      <sz val="18"/>
      <color rgb="FF1F4E78"/>
      <name val="Cambria"/>
      <family val="1"/>
      <charset val="1"/>
    </font>
    <font>
      <b/>
      <sz val="11"/>
      <color rgb="FF1F4E78"/>
      <name val="Cambria"/>
      <family val="1"/>
      <charset val="1"/>
    </font>
    <font>
      <b/>
      <sz val="10"/>
      <color rgb="FFFFFFFF"/>
      <name val="Cambria"/>
      <family val="1"/>
      <charset val="1"/>
    </font>
    <font>
      <sz val="9"/>
      <name val="Cambria"/>
      <family val="1"/>
      <charset val="1"/>
    </font>
    <font>
      <sz val="9"/>
      <color theme="1"/>
      <name val="Cambria"/>
      <family val="1"/>
      <charset val="1"/>
    </font>
    <font>
      <sz val="9"/>
      <color rgb="FF0000FF"/>
      <name val="Cambria"/>
      <family val="1"/>
      <charset val="1"/>
    </font>
    <font>
      <i/>
      <sz val="8.5"/>
      <color rgb="FF595959"/>
      <name val="Cambria"/>
      <family val="1"/>
      <charset val="1"/>
    </font>
    <font>
      <b/>
      <sz val="9"/>
      <name val="Cambria"/>
      <family val="1"/>
      <charset val="1"/>
    </font>
    <font>
      <sz val="9"/>
      <color rgb="FF1A53FF"/>
      <name val="Calibri"/>
      <family val="2"/>
      <charset val="1"/>
    </font>
    <font>
      <sz val="9"/>
      <color theme="1"/>
      <name val="Calibri"/>
      <family val="2"/>
      <charset val="1"/>
    </font>
    <font>
      <sz val="9"/>
      <color rgb="FF00B050"/>
      <name val="Calibri"/>
      <family val="2"/>
      <charset val="1"/>
    </font>
    <font>
      <b/>
      <sz val="9"/>
      <color rgb="FFFFFFFF"/>
      <name val="Cambria"/>
      <family val="1"/>
      <charset val="1"/>
    </font>
    <font>
      <b/>
      <sz val="15"/>
      <color rgb="FF1F4E78"/>
      <name val="Cambria"/>
      <family val="1"/>
      <charset val="1"/>
    </font>
    <font>
      <i/>
      <sz val="9"/>
      <color rgb="FF595959"/>
      <name val="Cambria"/>
      <family val="1"/>
      <charset val="1"/>
    </font>
    <font>
      <b/>
      <sz val="9"/>
      <color rgb="FF1F4E78"/>
      <name val="Cambria"/>
      <family val="1"/>
      <charset val="1"/>
    </font>
    <font>
      <i/>
      <sz val="8"/>
      <color rgb="FF595959"/>
      <name val="Cambria"/>
      <family val="1"/>
      <charset val="1"/>
    </font>
    <font>
      <b/>
      <sz val="11"/>
      <color rgb="FFFFFFFF"/>
      <name val="Cambria"/>
      <family val="1"/>
      <charset val="1"/>
    </font>
    <font>
      <sz val="9"/>
      <color rgb="FF00B050"/>
      <name val="Cambria"/>
      <family val="1"/>
      <charset val="1"/>
    </font>
    <font>
      <sz val="9"/>
      <color rgb="FF1A53FF"/>
      <name val="Cambria"/>
      <family val="1"/>
      <charset val="1"/>
    </font>
    <font>
      <sz val="10"/>
      <color theme="1"/>
      <name val="Cambria"/>
      <family val="1"/>
      <charset val="1"/>
    </font>
    <font>
      <b/>
      <sz val="9"/>
      <color rgb="FF1A53FF"/>
      <name val="Cambria"/>
      <family val="1"/>
      <charset val="1"/>
    </font>
    <font>
      <sz val="8"/>
      <color rgb="FF595959"/>
      <name val="Cambria"/>
      <family val="1"/>
      <charset val="1"/>
    </font>
    <font>
      <sz val="9"/>
      <color rgb="FF000000"/>
      <name val="Cambria"/>
      <family val="1"/>
      <charset val="1"/>
    </font>
    <font>
      <sz val="9"/>
      <color theme="0" tint="-0.249977111117893"/>
      <name val="Cambria"/>
      <family val="1"/>
      <charset val="1"/>
    </font>
    <font>
      <b/>
      <sz val="10"/>
      <color rgb="FFFFFFFF"/>
      <name val="Cambria"/>
      <family val="1"/>
    </font>
    <font>
      <sz val="8"/>
      <color theme="1"/>
      <name val="Calibri"/>
      <family val="2"/>
      <charset val="1"/>
    </font>
    <font>
      <sz val="9"/>
      <color rgb="FF00B050"/>
      <name val="Cambria"/>
      <family val="1"/>
    </font>
    <font>
      <sz val="9"/>
      <color rgb="FF000000"/>
      <name val="Cambria"/>
      <family val="1"/>
    </font>
    <font>
      <sz val="9"/>
      <color rgb="FF1A53FF"/>
      <name val="Cambria"/>
      <family val="1"/>
    </font>
    <font>
      <i/>
      <sz val="8"/>
      <color rgb="FF808080"/>
      <name val="Cambria"/>
      <family val="1"/>
      <charset val="1"/>
    </font>
    <font>
      <b/>
      <sz val="9"/>
      <color rgb="FF000000"/>
      <name val="Cambria"/>
      <family val="1"/>
    </font>
    <font>
      <b/>
      <sz val="9"/>
      <color rgb="FFFFFFFF"/>
      <name val="Cambria"/>
      <family val="1"/>
    </font>
    <font>
      <b/>
      <sz val="9"/>
      <color rgb="FF000000"/>
      <name val="Cambria"/>
      <family val="1"/>
      <charset val="1"/>
    </font>
    <font>
      <i/>
      <sz val="8"/>
      <color rgb="FF808080"/>
      <name val="Cambria"/>
      <family val="1"/>
    </font>
    <font>
      <b/>
      <sz val="9"/>
      <color rgb="FF00B050"/>
      <name val="Cambria"/>
      <family val="1"/>
    </font>
    <font>
      <b/>
      <sz val="9"/>
      <color rgb="FF1A53FF"/>
      <name val="Cambria"/>
      <family val="1"/>
    </font>
    <font>
      <sz val="11"/>
      <color theme="1"/>
      <name val="Calibri"/>
      <family val="2"/>
      <charset val="1"/>
    </font>
    <font>
      <sz val="9"/>
      <color rgb="FF000000"/>
      <name val="Cambria"/>
      <family val="1"/>
    </font>
    <font>
      <sz val="8"/>
      <color rgb="FF595959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theme="0"/>
        <bgColor rgb="FFF2F2F2"/>
      </patternFill>
    </fill>
    <fill>
      <patternFill patternType="solid">
        <fgColor rgb="FFD9E1F2"/>
        <bgColor rgb="FFF2F2F2"/>
      </patternFill>
    </fill>
    <fill>
      <patternFill patternType="solid">
        <fgColor rgb="FFF2F2F2"/>
        <bgColor rgb="FFFFFFFF"/>
      </patternFill>
    </fill>
  </fills>
  <borders count="2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FBFBF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rgb="FFBFBFBF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FBFBF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FBFBF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/>
      <bottom style="thin">
        <color rgb="FFBFBFBF"/>
      </bottom>
      <diagonal/>
    </border>
    <border>
      <left/>
      <right style="thin">
        <color theme="0" tint="-0.34998626667073579"/>
      </right>
      <top/>
      <bottom style="thin">
        <color theme="0" tint="-0.249977111117893"/>
      </bottom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9" fontId="37" fillId="0" borderId="0"/>
  </cellStyleXfs>
  <cellXfs count="12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3" borderId="0" xfId="0" applyFont="1" applyFill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8" fillId="4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10" fillId="0" borderId="6" xfId="0" applyFont="1" applyBorder="1"/>
    <xf numFmtId="0" fontId="7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15" fillId="0" borderId="8" xfId="0" applyFont="1" applyBorder="1" applyAlignment="1">
      <alignment horizontal="center"/>
    </xf>
    <xf numFmtId="0" fontId="17" fillId="2" borderId="0" xfId="0" applyFont="1" applyFill="1"/>
    <xf numFmtId="0" fontId="4" fillId="0" borderId="0" xfId="0" applyFont="1" applyAlignment="1">
      <alignment indent="1"/>
    </xf>
    <xf numFmtId="164" fontId="18" fillId="0" borderId="0" xfId="0" applyNumberFormat="1" applyFont="1" applyAlignment="1">
      <alignment horizontal="right"/>
    </xf>
    <xf numFmtId="164" fontId="18" fillId="0" borderId="0" xfId="0" applyNumberFormat="1" applyFont="1"/>
    <xf numFmtId="164" fontId="19" fillId="0" borderId="0" xfId="0" applyNumberFormat="1" applyFont="1"/>
    <xf numFmtId="164" fontId="18" fillId="0" borderId="0" xfId="0" applyNumberFormat="1" applyFont="1" applyAlignment="1">
      <alignment horizontal="right" vertical="center"/>
    </xf>
    <xf numFmtId="165" fontId="18" fillId="0" borderId="0" xfId="0" applyNumberFormat="1" applyFont="1"/>
    <xf numFmtId="165" fontId="19" fillId="0" borderId="0" xfId="0" applyNumberFormat="1" applyFont="1"/>
    <xf numFmtId="166" fontId="18" fillId="0" borderId="0" xfId="0" applyNumberFormat="1" applyFont="1"/>
    <xf numFmtId="166" fontId="19" fillId="0" borderId="0" xfId="0" applyNumberFormat="1" applyFont="1"/>
    <xf numFmtId="0" fontId="20" fillId="0" borderId="0" xfId="0" applyFont="1"/>
    <xf numFmtId="0" fontId="21" fillId="0" borderId="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4" fillId="0" borderId="0" xfId="0" applyFont="1"/>
    <xf numFmtId="0" fontId="8" fillId="0" borderId="9" xfId="0" applyFont="1" applyBorder="1"/>
    <xf numFmtId="166" fontId="8" fillId="0" borderId="9" xfId="0" applyNumberFormat="1" applyFont="1" applyBorder="1"/>
    <xf numFmtId="0" fontId="8" fillId="0" borderId="10" xfId="0" applyFont="1" applyBorder="1"/>
    <xf numFmtId="166" fontId="8" fillId="0" borderId="10" xfId="0" applyNumberFormat="1" applyFont="1" applyBorder="1"/>
    <xf numFmtId="4" fontId="19" fillId="0" borderId="0" xfId="0" applyNumberFormat="1" applyFont="1"/>
    <xf numFmtId="4" fontId="23" fillId="0" borderId="0" xfId="0" applyNumberFormat="1" applyFont="1"/>
    <xf numFmtId="3" fontId="19" fillId="0" borderId="0" xfId="0" applyNumberFormat="1" applyFont="1"/>
    <xf numFmtId="3" fontId="23" fillId="0" borderId="0" xfId="0" applyNumberFormat="1" applyFont="1"/>
    <xf numFmtId="0" fontId="15" fillId="0" borderId="0" xfId="0" applyFont="1"/>
    <xf numFmtId="166" fontId="23" fillId="0" borderId="0" xfId="0" applyNumberFormat="1" applyFont="1"/>
    <xf numFmtId="0" fontId="8" fillId="0" borderId="9" xfId="0" applyFont="1" applyBorder="1" applyAlignment="1">
      <alignment indent="1"/>
    </xf>
    <xf numFmtId="0" fontId="16" fillId="0" borderId="0" xfId="0" applyFont="1"/>
    <xf numFmtId="166" fontId="4" fillId="0" borderId="0" xfId="0" applyNumberFormat="1" applyFont="1"/>
    <xf numFmtId="166" fontId="24" fillId="0" borderId="0" xfId="0" applyNumberFormat="1" applyFont="1"/>
    <xf numFmtId="166" fontId="5" fillId="0" borderId="0" xfId="0" applyNumberFormat="1" applyFont="1"/>
    <xf numFmtId="0" fontId="23" fillId="0" borderId="0" xfId="0" applyFont="1" applyAlignment="1">
      <alignment indent="1"/>
    </xf>
    <xf numFmtId="14" fontId="26" fillId="0" borderId="0" xfId="0" applyNumberFormat="1" applyFont="1"/>
    <xf numFmtId="166" fontId="27" fillId="0" borderId="0" xfId="0" applyNumberFormat="1" applyFont="1"/>
    <xf numFmtId="166" fontId="28" fillId="0" borderId="0" xfId="0" applyNumberFormat="1" applyFont="1"/>
    <xf numFmtId="164" fontId="28" fillId="0" borderId="0" xfId="0" applyNumberFormat="1" applyFont="1"/>
    <xf numFmtId="10" fontId="29" fillId="0" borderId="0" xfId="0" applyNumberFormat="1" applyFont="1"/>
    <xf numFmtId="0" fontId="26" fillId="0" borderId="0" xfId="0" applyFont="1"/>
    <xf numFmtId="2" fontId="29" fillId="0" borderId="0" xfId="0" applyNumberFormat="1" applyFont="1"/>
    <xf numFmtId="0" fontId="17" fillId="0" borderId="0" xfId="0" applyFont="1"/>
    <xf numFmtId="164" fontId="27" fillId="0" borderId="0" xfId="0" applyNumberFormat="1" applyFont="1"/>
    <xf numFmtId="166" fontId="30" fillId="0" borderId="0" xfId="0" applyNumberFormat="1" applyFont="1"/>
    <xf numFmtId="0" fontId="23" fillId="0" borderId="8" xfId="0" applyFont="1" applyBorder="1" applyAlignment="1">
      <alignment indent="1"/>
    </xf>
    <xf numFmtId="164" fontId="27" fillId="0" borderId="8" xfId="0" applyNumberFormat="1" applyFont="1" applyBorder="1"/>
    <xf numFmtId="0" fontId="31" fillId="0" borderId="0" xfId="0" applyFont="1" applyAlignment="1">
      <alignment indent="1"/>
    </xf>
    <xf numFmtId="164" fontId="31" fillId="0" borderId="0" xfId="0" applyNumberFormat="1" applyFont="1"/>
    <xf numFmtId="0" fontId="0" fillId="2" borderId="0" xfId="0" applyFill="1"/>
    <xf numFmtId="0" fontId="28" fillId="0" borderId="0" xfId="0" applyFont="1" applyAlignment="1">
      <alignment indent="1"/>
    </xf>
    <xf numFmtId="2" fontId="4" fillId="0" borderId="0" xfId="0" applyNumberFormat="1" applyFont="1"/>
    <xf numFmtId="164" fontId="18" fillId="0" borderId="0" xfId="1" applyNumberFormat="1" applyFont="1"/>
    <xf numFmtId="0" fontId="33" fillId="0" borderId="9" xfId="0" applyFont="1" applyBorder="1" applyAlignment="1">
      <alignment indent="1"/>
    </xf>
    <xf numFmtId="166" fontId="31" fillId="0" borderId="9" xfId="0" applyNumberFormat="1" applyFont="1" applyBorder="1"/>
    <xf numFmtId="166" fontId="31" fillId="0" borderId="0" xfId="0" applyNumberFormat="1" applyFont="1"/>
    <xf numFmtId="0" fontId="28" fillId="0" borderId="9" xfId="0" applyFont="1" applyBorder="1" applyAlignment="1">
      <alignment indent="1"/>
    </xf>
    <xf numFmtId="166" fontId="33" fillId="0" borderId="9" xfId="0" applyNumberFormat="1" applyFont="1" applyBorder="1"/>
    <xf numFmtId="164" fontId="29" fillId="0" borderId="0" xfId="0" applyNumberFormat="1" applyFont="1"/>
    <xf numFmtId="0" fontId="28" fillId="0" borderId="10" xfId="0" applyFont="1" applyBorder="1" applyAlignment="1">
      <alignment indent="1"/>
    </xf>
    <xf numFmtId="166" fontId="28" fillId="0" borderId="10" xfId="0" applyNumberFormat="1" applyFont="1" applyBorder="1"/>
    <xf numFmtId="0" fontId="31" fillId="0" borderId="0" xfId="0" applyFont="1"/>
    <xf numFmtId="0" fontId="28" fillId="0" borderId="0" xfId="0" applyFont="1"/>
    <xf numFmtId="166" fontId="3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28" fillId="0" borderId="0" xfId="0" applyNumberFormat="1" applyFont="1" applyAlignment="1">
      <alignment horizontal="center"/>
    </xf>
    <xf numFmtId="4" fontId="4" fillId="0" borderId="0" xfId="0" applyNumberFormat="1" applyFont="1"/>
    <xf numFmtId="164" fontId="31" fillId="0" borderId="0" xfId="0" applyNumberFormat="1" applyFont="1" applyAlignment="1">
      <alignment horizontal="center"/>
    </xf>
    <xf numFmtId="4" fontId="31" fillId="0" borderId="0" xfId="0" applyNumberFormat="1" applyFont="1"/>
    <xf numFmtId="4" fontId="28" fillId="0" borderId="0" xfId="0" applyNumberFormat="1" applyFont="1"/>
    <xf numFmtId="0" fontId="34" fillId="0" borderId="0" xfId="0" applyFont="1"/>
    <xf numFmtId="4" fontId="35" fillId="0" borderId="0" xfId="0" applyNumberFormat="1" applyFont="1" applyAlignment="1">
      <alignment horizontal="center"/>
    </xf>
    <xf numFmtId="164" fontId="36" fillId="5" borderId="1" xfId="0" applyNumberFormat="1" applyFont="1" applyFill="1" applyBorder="1" applyAlignment="1">
      <alignment horizontal="center"/>
    </xf>
    <xf numFmtId="164" fontId="36" fillId="5" borderId="1" xfId="0" applyNumberFormat="1" applyFont="1" applyFill="1" applyBorder="1"/>
    <xf numFmtId="4" fontId="28" fillId="0" borderId="1" xfId="0" applyNumberFormat="1" applyFont="1" applyBorder="1" applyAlignment="1">
      <alignment horizontal="center"/>
    </xf>
    <xf numFmtId="166" fontId="0" fillId="0" borderId="0" xfId="0" applyNumberFormat="1"/>
    <xf numFmtId="0" fontId="8" fillId="4" borderId="1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center"/>
    </xf>
    <xf numFmtId="0" fontId="0" fillId="0" borderId="13" xfId="0" applyBorder="1"/>
    <xf numFmtId="0" fontId="8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/>
    </xf>
    <xf numFmtId="0" fontId="10" fillId="0" borderId="16" xfId="0" applyFont="1" applyBorder="1"/>
    <xf numFmtId="0" fontId="0" fillId="0" borderId="15" xfId="0" applyBorder="1"/>
    <xf numFmtId="0" fontId="12" fillId="2" borderId="7" xfId="0" applyFont="1" applyFill="1" applyBorder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0" fillId="0" borderId="14" xfId="0" applyFont="1" applyBorder="1"/>
    <xf numFmtId="0" fontId="10" fillId="0" borderId="16" xfId="0" applyFont="1" applyBorder="1" applyAlignment="1">
      <alignment vertical="center"/>
    </xf>
    <xf numFmtId="0" fontId="38" fillId="0" borderId="0" xfId="0" applyFont="1"/>
    <xf numFmtId="0" fontId="23" fillId="0" borderId="0" xfId="0" applyFont="1" applyAlignment="1">
      <alignment horizontal="left" indent="1"/>
    </xf>
    <xf numFmtId="167" fontId="28" fillId="0" borderId="28" xfId="0" applyNumberFormat="1" applyFont="1" applyBorder="1"/>
    <xf numFmtId="0" fontId="25" fillId="2" borderId="0" xfId="0" applyFont="1" applyFill="1" applyAlignment="1">
      <alignment indent="1"/>
    </xf>
    <xf numFmtId="166" fontId="33" fillId="2" borderId="0" xfId="0" applyNumberFormat="1" applyFont="1" applyFill="1"/>
    <xf numFmtId="166" fontId="8" fillId="2" borderId="0" xfId="0" applyNumberFormat="1" applyFont="1" applyFill="1"/>
    <xf numFmtId="166" fontId="32" fillId="2" borderId="0" xfId="0" applyNumberFormat="1" applyFont="1" applyFill="1"/>
    <xf numFmtId="0" fontId="32" fillId="2" borderId="0" xfId="0" applyFont="1" applyFill="1"/>
    <xf numFmtId="0" fontId="3" fillId="2" borderId="4" xfId="0" applyFont="1" applyFill="1" applyBorder="1" applyAlignment="1">
      <alignment horizontal="left" vertical="center" wrapText="1"/>
    </xf>
    <xf numFmtId="0" fontId="0" fillId="0" borderId="26" xfId="0" applyBorder="1"/>
    <xf numFmtId="0" fontId="10" fillId="0" borderId="17" xfId="0" applyFont="1" applyBorder="1" applyAlignment="1">
      <alignment horizontal="left" vertical="center"/>
    </xf>
    <xf numFmtId="0" fontId="0" fillId="0" borderId="18" xfId="0" applyBorder="1"/>
    <xf numFmtId="0" fontId="3" fillId="2" borderId="1" xfId="0" applyFont="1" applyFill="1" applyBorder="1" applyAlignment="1">
      <alignment horizontal="left" vertical="center" wrapText="1"/>
    </xf>
    <xf numFmtId="0" fontId="0" fillId="0" borderId="24" xfId="0" applyBorder="1"/>
    <xf numFmtId="0" fontId="28" fillId="0" borderId="19" xfId="0" applyFont="1" applyBorder="1" applyAlignment="1">
      <alignment horizontal="left" vertical="center" wrapText="1"/>
    </xf>
    <xf numFmtId="0" fontId="28" fillId="0" borderId="12" xfId="0" applyFont="1" applyBorder="1" applyAlignment="1">
      <alignment horizontal="left" vertical="center" wrapText="1"/>
    </xf>
    <xf numFmtId="0" fontId="28" fillId="0" borderId="20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0" fillId="0" borderId="21" xfId="0" applyBorder="1"/>
    <xf numFmtId="0" fontId="3" fillId="2" borderId="2" xfId="0" applyFont="1" applyFill="1" applyBorder="1" applyAlignment="1">
      <alignment horizontal="left" vertical="center" wrapText="1"/>
    </xf>
    <xf numFmtId="0" fontId="0" fillId="0" borderId="23" xfId="0" applyBorder="1"/>
    <xf numFmtId="0" fontId="38" fillId="0" borderId="3" xfId="0" applyFont="1" applyBorder="1" applyAlignment="1">
      <alignment vertical="top" wrapText="1"/>
    </xf>
    <xf numFmtId="0" fontId="0" fillId="0" borderId="25" xfId="0" applyBorder="1"/>
    <xf numFmtId="0" fontId="0" fillId="0" borderId="19" xfId="0" applyBorder="1"/>
    <xf numFmtId="0" fontId="0" fillId="0" borderId="27" xfId="0" applyBorder="1"/>
    <xf numFmtId="0" fontId="39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1A53FF"/>
      <rgbColor rgb="FF33CCCC"/>
      <rgbColor rgb="FF99CC00"/>
      <rgbColor rgb="FFFFCC00"/>
      <rgbColor rgb="FFFF9900"/>
      <rgbColor rgb="FFFF6600"/>
      <rgbColor rgb="FF595959"/>
      <rgbColor rgb="FFA6A6A6"/>
      <rgbColor rgb="FF003366"/>
      <rgbColor rgb="FF00B050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6"/>
  <sheetViews>
    <sheetView showGridLines="0" topLeftCell="A14" zoomScale="160" zoomScaleNormal="160" workbookViewId="0">
      <selection activeCell="B27" sqref="B27"/>
    </sheetView>
  </sheetViews>
  <sheetFormatPr defaultColWidth="8.7109375" defaultRowHeight="15" x14ac:dyDescent="0.25"/>
  <cols>
    <col min="1" max="1" width="4" customWidth="1"/>
    <col min="2" max="2" width="29.5703125" customWidth="1"/>
    <col min="3" max="3" width="29.28515625" customWidth="1"/>
    <col min="4" max="4" width="48.7109375" customWidth="1"/>
  </cols>
  <sheetData>
    <row r="1" spans="2:4" ht="12" customHeight="1" x14ac:dyDescent="0.25"/>
    <row r="2" spans="2:4" ht="26.25" customHeight="1" x14ac:dyDescent="0.25">
      <c r="B2" s="1" t="s">
        <v>0</v>
      </c>
    </row>
    <row r="3" spans="2:4" x14ac:dyDescent="0.25">
      <c r="B3" s="2" t="s">
        <v>1</v>
      </c>
    </row>
    <row r="5" spans="2:4" ht="14.25" customHeight="1" x14ac:dyDescent="0.25">
      <c r="B5" s="113" t="s">
        <v>2</v>
      </c>
      <c r="C5" s="114"/>
    </row>
    <row r="6" spans="2:4" x14ac:dyDescent="0.25">
      <c r="B6" s="3" t="s">
        <v>3</v>
      </c>
      <c r="C6" s="4" t="s">
        <v>4</v>
      </c>
    </row>
    <row r="7" spans="2:4" x14ac:dyDescent="0.25">
      <c r="B7" s="3" t="s">
        <v>5</v>
      </c>
      <c r="C7" s="5">
        <v>46220</v>
      </c>
    </row>
    <row r="8" spans="2:4" x14ac:dyDescent="0.25">
      <c r="B8" s="6"/>
      <c r="C8" s="7"/>
    </row>
    <row r="9" spans="2:4" ht="14.25" customHeight="1" x14ac:dyDescent="0.25">
      <c r="B9" s="120" t="s">
        <v>6</v>
      </c>
      <c r="C9" s="121"/>
    </row>
    <row r="10" spans="2:4" ht="25.5" customHeight="1" x14ac:dyDescent="0.25">
      <c r="B10" s="122" t="s">
        <v>7</v>
      </c>
      <c r="C10" s="123"/>
    </row>
    <row r="11" spans="2:4" ht="24" customHeight="1" x14ac:dyDescent="0.25">
      <c r="B11" s="124"/>
      <c r="C11" s="125"/>
    </row>
    <row r="12" spans="2:4" ht="15" customHeight="1" x14ac:dyDescent="0.25">
      <c r="B12" s="8"/>
    </row>
    <row r="13" spans="2:4" ht="15" customHeight="1" x14ac:dyDescent="0.25">
      <c r="B13" s="109" t="s">
        <v>8</v>
      </c>
      <c r="C13" s="110"/>
      <c r="D13" s="110"/>
    </row>
    <row r="14" spans="2:4" ht="15" customHeight="1" x14ac:dyDescent="0.25">
      <c r="B14" s="9" t="s">
        <v>9</v>
      </c>
      <c r="C14" s="9" t="s">
        <v>10</v>
      </c>
      <c r="D14" s="9" t="s">
        <v>11</v>
      </c>
    </row>
    <row r="15" spans="2:4" ht="15" customHeight="1" x14ac:dyDescent="0.25">
      <c r="B15" s="10" t="s">
        <v>12</v>
      </c>
      <c r="C15" s="11" t="s">
        <v>13</v>
      </c>
      <c r="D15" s="12" t="s">
        <v>14</v>
      </c>
    </row>
    <row r="16" spans="2:4" ht="15" customHeight="1" x14ac:dyDescent="0.25">
      <c r="B16" s="10" t="s">
        <v>15</v>
      </c>
      <c r="C16" s="89" t="s">
        <v>13</v>
      </c>
      <c r="D16" s="12" t="s">
        <v>16</v>
      </c>
    </row>
    <row r="17" spans="2:5" ht="14.25" customHeight="1" x14ac:dyDescent="0.25">
      <c r="B17" s="91" t="s">
        <v>17</v>
      </c>
      <c r="C17" s="92" t="s">
        <v>13</v>
      </c>
      <c r="D17" s="93" t="s">
        <v>18</v>
      </c>
      <c r="E17" s="94"/>
    </row>
    <row r="18" spans="2:5" ht="14.25" customHeight="1" x14ac:dyDescent="0.25">
      <c r="B18" s="90"/>
    </row>
    <row r="19" spans="2:5" ht="14.25" customHeight="1" x14ac:dyDescent="0.25">
      <c r="B19" s="95" t="s">
        <v>19</v>
      </c>
      <c r="C19" s="96"/>
      <c r="D19" s="96"/>
    </row>
    <row r="20" spans="2:5" ht="21" customHeight="1" x14ac:dyDescent="0.25">
      <c r="B20" s="88" t="s">
        <v>20</v>
      </c>
      <c r="C20" s="100" t="s">
        <v>21</v>
      </c>
      <c r="D20" s="99"/>
    </row>
    <row r="21" spans="2:5" ht="21" customHeight="1" x14ac:dyDescent="0.25">
      <c r="B21" s="88" t="s">
        <v>22</v>
      </c>
      <c r="C21" s="118" t="s">
        <v>23</v>
      </c>
      <c r="D21" s="119"/>
    </row>
    <row r="22" spans="2:5" ht="21" customHeight="1" x14ac:dyDescent="0.25">
      <c r="B22" s="88" t="s">
        <v>24</v>
      </c>
      <c r="C22" s="118" t="s">
        <v>25</v>
      </c>
      <c r="D22" s="119"/>
    </row>
    <row r="23" spans="2:5" ht="21" customHeight="1" x14ac:dyDescent="0.25">
      <c r="B23" s="88" t="s">
        <v>26</v>
      </c>
      <c r="C23" s="111" t="s">
        <v>27</v>
      </c>
      <c r="D23" s="112"/>
      <c r="E23" s="94"/>
    </row>
    <row r="25" spans="2:5" ht="14.25" customHeight="1" x14ac:dyDescent="0.25">
      <c r="B25" s="97" t="s">
        <v>28</v>
      </c>
      <c r="C25" s="98"/>
      <c r="D25" s="98"/>
    </row>
    <row r="26" spans="2:5" ht="55.9" customHeight="1" x14ac:dyDescent="0.25">
      <c r="B26" s="115" t="s">
        <v>174</v>
      </c>
      <c r="C26" s="116"/>
      <c r="D26" s="117"/>
    </row>
    <row r="27" spans="2:5" ht="22.9" customHeight="1" x14ac:dyDescent="0.25">
      <c r="B27" s="101"/>
    </row>
    <row r="29" spans="2:5" x14ac:dyDescent="0.25">
      <c r="B29" s="101"/>
    </row>
    <row r="34" spans="3:4" ht="14.25" customHeight="1" x14ac:dyDescent="0.25">
      <c r="D34" s="13"/>
    </row>
    <row r="35" spans="3:4" x14ac:dyDescent="0.25">
      <c r="D35" s="13"/>
    </row>
    <row r="36" spans="3:4" x14ac:dyDescent="0.25">
      <c r="C36" s="13"/>
    </row>
  </sheetData>
  <mergeCells count="8">
    <mergeCell ref="B13:D13"/>
    <mergeCell ref="C23:D23"/>
    <mergeCell ref="B5:C5"/>
    <mergeCell ref="B26:D26"/>
    <mergeCell ref="C21:D21"/>
    <mergeCell ref="B9:C9"/>
    <mergeCell ref="C22:D22"/>
    <mergeCell ref="B10:C11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31"/>
  <sheetViews>
    <sheetView showGridLines="0" topLeftCell="B1" zoomScaleNormal="100" workbookViewId="0">
      <selection activeCell="M23" sqref="M23"/>
    </sheetView>
  </sheetViews>
  <sheetFormatPr defaultColWidth="8.7109375" defaultRowHeight="15" x14ac:dyDescent="0.25"/>
  <cols>
    <col min="1" max="1" width="2.42578125" customWidth="1"/>
    <col min="2" max="2" width="38" customWidth="1"/>
    <col min="3" max="10" width="12" customWidth="1"/>
  </cols>
  <sheetData>
    <row r="2" spans="2:10" ht="18.75" customHeight="1" x14ac:dyDescent="0.25">
      <c r="B2" s="14" t="s">
        <v>29</v>
      </c>
    </row>
    <row r="3" spans="2:10" x14ac:dyDescent="0.25">
      <c r="B3" s="15"/>
    </row>
    <row r="4" spans="2:10" x14ac:dyDescent="0.25">
      <c r="C4" s="16" t="s">
        <v>30</v>
      </c>
      <c r="D4" s="16" t="s">
        <v>31</v>
      </c>
      <c r="E4" s="16" t="s">
        <v>32</v>
      </c>
      <c r="F4" s="16" t="s">
        <v>33</v>
      </c>
      <c r="G4" s="16" t="s">
        <v>34</v>
      </c>
      <c r="H4" s="16" t="s">
        <v>35</v>
      </c>
      <c r="I4" s="16" t="s">
        <v>36</v>
      </c>
      <c r="J4" s="16" t="s">
        <v>37</v>
      </c>
    </row>
    <row r="5" spans="2:10" x14ac:dyDescent="0.25">
      <c r="C5" s="126" t="s">
        <v>38</v>
      </c>
      <c r="D5" s="126" t="s">
        <v>38</v>
      </c>
      <c r="E5" s="126" t="s">
        <v>38</v>
      </c>
      <c r="F5" s="126" t="s">
        <v>39</v>
      </c>
      <c r="G5" s="126" t="s">
        <v>39</v>
      </c>
      <c r="H5" s="126" t="s">
        <v>39</v>
      </c>
      <c r="I5" s="126" t="s">
        <v>39</v>
      </c>
      <c r="J5" s="126" t="s">
        <v>39</v>
      </c>
    </row>
    <row r="7" spans="2:10" x14ac:dyDescent="0.25">
      <c r="B7" s="17" t="s">
        <v>40</v>
      </c>
      <c r="C7" s="17"/>
      <c r="D7" s="17"/>
      <c r="E7" s="17"/>
      <c r="F7" s="17"/>
      <c r="G7" s="17"/>
      <c r="H7" s="17"/>
      <c r="I7" s="17"/>
      <c r="J7" s="17"/>
    </row>
    <row r="8" spans="2:10" x14ac:dyDescent="0.25">
      <c r="B8" s="18" t="s">
        <v>41</v>
      </c>
      <c r="C8" s="19" t="s">
        <v>42</v>
      </c>
      <c r="D8" s="20">
        <f>(Model!D9-Model!C9)/Model!C9</f>
        <v>-0.10719789942348308</v>
      </c>
      <c r="E8" s="20">
        <f>(Model!E9-Model!D9)/Model!D9</f>
        <v>0.13049037785307846</v>
      </c>
      <c r="F8" s="21">
        <v>0.17</v>
      </c>
      <c r="G8" s="21">
        <v>0.11</v>
      </c>
      <c r="H8" s="21">
        <v>7.0000000000000007E-2</v>
      </c>
      <c r="I8" s="21">
        <v>0.06</v>
      </c>
      <c r="J8" s="21">
        <v>0.05</v>
      </c>
    </row>
    <row r="9" spans="2:10" x14ac:dyDescent="0.25">
      <c r="B9" s="18" t="s">
        <v>43</v>
      </c>
      <c r="C9" s="20">
        <f>Model!C11/Model!C9</f>
        <v>0.62897425652149097</v>
      </c>
      <c r="D9" s="20">
        <f>Model!D11/Model!D9</f>
        <v>0.58142062527971361</v>
      </c>
      <c r="E9" s="20">
        <f>Model!E11/Model!E9</f>
        <v>0.57024092297251439</v>
      </c>
      <c r="F9" s="21">
        <v>0.57999999999999996</v>
      </c>
      <c r="G9" s="21">
        <v>0.57999999999999996</v>
      </c>
      <c r="H9" s="21">
        <v>0.57999999999999996</v>
      </c>
      <c r="I9" s="21">
        <v>0.57999999999999996</v>
      </c>
      <c r="J9" s="21">
        <v>0.57999999999999996</v>
      </c>
    </row>
    <row r="10" spans="2:10" x14ac:dyDescent="0.25">
      <c r="B10" s="18" t="s">
        <v>44</v>
      </c>
      <c r="C10" s="20">
        <f>Model!C12/Model!C9</f>
        <v>0.1063416861693019</v>
      </c>
      <c r="D10" s="20">
        <f>Model!D12/Model!D9</f>
        <v>0.12524774630778082</v>
      </c>
      <c r="E10" s="20">
        <f>Model!E12/Model!E9</f>
        <v>0.11780341590317837</v>
      </c>
      <c r="F10" s="21">
        <v>0.11600000000000001</v>
      </c>
      <c r="G10" s="21">
        <v>0.11600000000000001</v>
      </c>
      <c r="H10" s="21">
        <v>0.11600000000000001</v>
      </c>
      <c r="I10" s="21">
        <v>0.11600000000000001</v>
      </c>
      <c r="J10" s="21">
        <v>0.11600000000000001</v>
      </c>
    </row>
    <row r="11" spans="2:10" x14ac:dyDescent="0.25">
      <c r="B11" s="18" t="s">
        <v>45</v>
      </c>
      <c r="C11" s="20">
        <f>Model!C13/Model!C9</f>
        <v>0.10417261259204293</v>
      </c>
      <c r="D11" s="20">
        <f>Model!D13/Model!D9</f>
        <v>0.11469854868614539</v>
      </c>
      <c r="E11" s="20">
        <f>Model!E13/Model!E9</f>
        <v>0.10519172039362062</v>
      </c>
      <c r="F11" s="21">
        <v>0.108</v>
      </c>
      <c r="G11" s="21">
        <v>0.108</v>
      </c>
      <c r="H11" s="21">
        <v>0.108</v>
      </c>
      <c r="I11" s="21">
        <v>0.108</v>
      </c>
      <c r="J11" s="21">
        <v>0.108</v>
      </c>
    </row>
    <row r="12" spans="2:10" x14ac:dyDescent="0.25">
      <c r="B12" s="18" t="s">
        <v>46</v>
      </c>
      <c r="C12" s="20">
        <f>Model!C16/Model!C9</f>
        <v>2.5115588789314459E-2</v>
      </c>
      <c r="D12" s="20">
        <f>Model!D16/Model!D9</f>
        <v>3.171152739594655E-2</v>
      </c>
      <c r="E12" s="20">
        <f>Model!E16/Model!E9</f>
        <v>1.3007578328243412E-2</v>
      </c>
      <c r="F12" s="21">
        <v>2.3E-2</v>
      </c>
      <c r="G12" s="21">
        <v>2.3E-2</v>
      </c>
      <c r="H12" s="21">
        <v>2.3E-2</v>
      </c>
      <c r="I12" s="21">
        <v>2.3E-2</v>
      </c>
      <c r="J12" s="21">
        <v>2.3E-2</v>
      </c>
    </row>
    <row r="13" spans="2:10" x14ac:dyDescent="0.25">
      <c r="B13" s="18" t="s">
        <v>47</v>
      </c>
      <c r="C13" s="20">
        <f>Model!C19/Model!C18</f>
        <v>0.12240496090590455</v>
      </c>
      <c r="D13" s="20">
        <f>Model!D19/Model!D18</f>
        <v>0.11993398129470016</v>
      </c>
      <c r="E13" s="20">
        <f>Model!E19/Model!E18</f>
        <v>0.12416812609457092</v>
      </c>
      <c r="F13" s="21">
        <v>0.122</v>
      </c>
      <c r="G13" s="21">
        <v>0.122</v>
      </c>
      <c r="H13" s="21">
        <v>0.122</v>
      </c>
      <c r="I13" s="21">
        <v>0.122</v>
      </c>
      <c r="J13" s="21">
        <v>0.122</v>
      </c>
    </row>
    <row r="15" spans="2:10" x14ac:dyDescent="0.25">
      <c r="B15" s="17" t="s">
        <v>48</v>
      </c>
      <c r="C15" s="17"/>
      <c r="D15" s="17"/>
      <c r="E15" s="17"/>
      <c r="F15" s="17"/>
      <c r="G15" s="17"/>
      <c r="H15" s="17"/>
      <c r="I15" s="17"/>
      <c r="J15" s="17"/>
    </row>
    <row r="16" spans="2:10" x14ac:dyDescent="0.25">
      <c r="B16" s="18" t="s">
        <v>49</v>
      </c>
      <c r="C16" s="20">
        <f>-Model!C78/Model!C9</f>
        <v>0.28945716079684913</v>
      </c>
      <c r="D16" s="20">
        <f>-Model!D78/Model!D9</f>
        <v>0.30816443961383544</v>
      </c>
      <c r="E16" s="20">
        <f>-Model!E78/Model!E9</f>
        <v>0.25732383214568488</v>
      </c>
      <c r="F16" s="21">
        <v>0.2</v>
      </c>
      <c r="G16" s="21">
        <v>0.16</v>
      </c>
      <c r="H16" s="21">
        <v>0.14000000000000001</v>
      </c>
      <c r="I16" s="21">
        <v>0.12</v>
      </c>
      <c r="J16" s="21">
        <v>0.1</v>
      </c>
    </row>
    <row r="17" spans="2:10" x14ac:dyDescent="0.25">
      <c r="B17" s="18" t="s">
        <v>50</v>
      </c>
      <c r="C17" s="22" t="s">
        <v>42</v>
      </c>
      <c r="D17" s="20">
        <f>Model!D69/Model!C35</f>
        <v>0.15801580158015802</v>
      </c>
      <c r="E17" s="20">
        <f>Model!E69/Model!D35</f>
        <v>0.17616991275226931</v>
      </c>
      <c r="F17" s="21">
        <v>0.16700000000000001</v>
      </c>
      <c r="G17" s="21">
        <v>0.16700000000000001</v>
      </c>
      <c r="H17" s="21">
        <v>0.16700000000000001</v>
      </c>
      <c r="I17" s="21">
        <v>0.16700000000000001</v>
      </c>
      <c r="J17" s="21">
        <v>0.16700000000000001</v>
      </c>
    </row>
    <row r="19" spans="2:10" x14ac:dyDescent="0.25">
      <c r="B19" s="17" t="s">
        <v>51</v>
      </c>
      <c r="C19" s="17"/>
      <c r="D19" s="17"/>
      <c r="E19" s="17"/>
      <c r="F19" s="17"/>
      <c r="G19" s="17"/>
      <c r="H19" s="17"/>
      <c r="I19" s="17"/>
      <c r="J19" s="17"/>
    </row>
    <row r="20" spans="2:10" x14ac:dyDescent="0.25">
      <c r="B20" s="18" t="s">
        <v>52</v>
      </c>
      <c r="C20" s="23">
        <f>Model!C29/Model!C9*365</f>
        <v>37.231291740396138</v>
      </c>
      <c r="D20" s="23">
        <f>Model!D29/Model!D9*365</f>
        <v>40.114762483217184</v>
      </c>
      <c r="E20" s="23">
        <f>Model!E29/Model!E9*365</f>
        <v>40.521151453455488</v>
      </c>
      <c r="F20" s="24">
        <v>40</v>
      </c>
      <c r="G20" s="24">
        <v>40</v>
      </c>
      <c r="H20" s="24">
        <v>40</v>
      </c>
      <c r="I20" s="24">
        <v>40</v>
      </c>
      <c r="J20" s="24">
        <v>40</v>
      </c>
    </row>
    <row r="21" spans="2:10" x14ac:dyDescent="0.25">
      <c r="B21" s="18" t="s">
        <v>53</v>
      </c>
      <c r="C21" s="23">
        <f>Model!C30/Model!C10*365</f>
        <v>224.55923076923077</v>
      </c>
      <c r="D21" s="23">
        <f>Model!D30/Model!D10*365</f>
        <v>252.38353444325642</v>
      </c>
      <c r="E21" s="23">
        <f>Model!E30/Model!E10*365</f>
        <v>230.74878273457034</v>
      </c>
      <c r="F21" s="24">
        <v>235.9</v>
      </c>
      <c r="G21" s="24">
        <v>235.9</v>
      </c>
      <c r="H21" s="24">
        <v>235.9</v>
      </c>
      <c r="I21" s="24">
        <v>235.9</v>
      </c>
      <c r="J21" s="24">
        <v>235.9</v>
      </c>
    </row>
    <row r="22" spans="2:10" x14ac:dyDescent="0.25">
      <c r="B22" s="18" t="s">
        <v>54</v>
      </c>
      <c r="C22" s="23">
        <f>Model!C45/Model!C10*365</f>
        <v>45.035384615384615</v>
      </c>
      <c r="D22" s="23">
        <f>Model!D45/Model!D10*365</f>
        <v>45.715594928975108</v>
      </c>
      <c r="E22" s="23">
        <f>Model!E45/Model!E10*365</f>
        <v>36.312672720094746</v>
      </c>
      <c r="F22" s="24">
        <v>36</v>
      </c>
      <c r="G22" s="24">
        <v>36</v>
      </c>
      <c r="H22" s="24">
        <v>36</v>
      </c>
      <c r="I22" s="24">
        <v>36</v>
      </c>
      <c r="J22" s="24">
        <v>36</v>
      </c>
    </row>
    <row r="23" spans="2:10" x14ac:dyDescent="0.25">
      <c r="B23" s="18" t="s">
        <v>55</v>
      </c>
      <c r="C23" s="20">
        <f>Model!C75/Model!C9</f>
        <v>-1.5354757691649066E-2</v>
      </c>
      <c r="D23" s="20">
        <f>Model!D75/Model!D9</f>
        <v>1.2211495428681031E-2</v>
      </c>
      <c r="E23" s="20">
        <f>Model!E75/Model!E9</f>
        <v>1.1424047053500735E-2</v>
      </c>
      <c r="F23" s="21">
        <v>0.01</v>
      </c>
      <c r="G23" s="21">
        <v>0.01</v>
      </c>
      <c r="H23" s="21">
        <v>0.01</v>
      </c>
      <c r="I23" s="21">
        <v>0.01</v>
      </c>
      <c r="J23" s="21">
        <v>0.01</v>
      </c>
    </row>
    <row r="25" spans="2:10" x14ac:dyDescent="0.25">
      <c r="B25" s="17" t="s">
        <v>56</v>
      </c>
      <c r="C25" s="17"/>
      <c r="D25" s="17"/>
      <c r="E25" s="17"/>
      <c r="F25" s="17"/>
      <c r="G25" s="17"/>
      <c r="H25" s="17"/>
      <c r="I25" s="17"/>
      <c r="J25" s="17"/>
    </row>
    <row r="26" spans="2:10" x14ac:dyDescent="0.25">
      <c r="B26" s="18" t="s">
        <v>57</v>
      </c>
      <c r="C26" s="20">
        <f>Model!C17/(Model!C44+Model!C50)</f>
        <v>3.145326561525439E-2</v>
      </c>
      <c r="D26" s="20">
        <f>Model!D17/(Model!D44+Model!D50)</f>
        <v>3.7363930567814063E-2</v>
      </c>
      <c r="E26" s="20">
        <f>Model!E17/(Model!E44+Model!E50)</f>
        <v>3.8653189066059225E-2</v>
      </c>
      <c r="F26" s="21">
        <v>3.9E-2</v>
      </c>
      <c r="G26" s="21">
        <v>3.9E-2</v>
      </c>
      <c r="H26" s="21">
        <v>3.9E-2</v>
      </c>
      <c r="I26" s="21">
        <v>3.9E-2</v>
      </c>
      <c r="J26" s="21">
        <v>3.9E-2</v>
      </c>
    </row>
    <row r="27" spans="2:10" x14ac:dyDescent="0.25">
      <c r="B27" s="18" t="s">
        <v>58</v>
      </c>
      <c r="C27" s="25">
        <f>Model!C83</f>
        <v>2500</v>
      </c>
      <c r="D27" s="25">
        <f>Model!D83</f>
        <v>2380</v>
      </c>
      <c r="E27" s="25">
        <f>Model!E83</f>
        <v>449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</row>
    <row r="29" spans="2:10" x14ac:dyDescent="0.25">
      <c r="B29" s="17" t="s">
        <v>59</v>
      </c>
      <c r="C29" s="17"/>
      <c r="D29" s="17"/>
      <c r="E29" s="17"/>
      <c r="F29" s="17"/>
      <c r="G29" s="17"/>
      <c r="H29" s="17"/>
      <c r="I29" s="17"/>
      <c r="J29" s="17"/>
    </row>
    <row r="30" spans="2:10" x14ac:dyDescent="0.25">
      <c r="B30" s="18" t="s">
        <v>60</v>
      </c>
      <c r="C30" s="19" t="s">
        <v>42</v>
      </c>
      <c r="D30" s="20">
        <f>(-Model!D84/Model!D23)/(-Model!C84/Model!C23)-1</f>
        <v>4.8792432835396804E-2</v>
      </c>
      <c r="E30" s="20">
        <f>(-Model!E84/Model!E23)/(-Model!D84/Model!D23)-1</f>
        <v>4.9395648762458944E-2</v>
      </c>
      <c r="F30" s="21">
        <v>4.9000000000000002E-2</v>
      </c>
      <c r="G30" s="21">
        <v>4.9000000000000002E-2</v>
      </c>
      <c r="H30" s="21">
        <v>4.9000000000000002E-2</v>
      </c>
      <c r="I30" s="21">
        <v>4.9000000000000002E-2</v>
      </c>
      <c r="J30" s="21">
        <v>4.9000000000000002E-2</v>
      </c>
    </row>
    <row r="31" spans="2:10" x14ac:dyDescent="0.25">
      <c r="B31" s="18" t="s">
        <v>61</v>
      </c>
      <c r="C31" s="25">
        <f>-Model!C85</f>
        <v>293</v>
      </c>
      <c r="D31" s="25">
        <f>-Model!D85</f>
        <v>929</v>
      </c>
      <c r="E31" s="25">
        <f>-Model!E85</f>
        <v>1477</v>
      </c>
      <c r="F31" s="26">
        <v>800</v>
      </c>
      <c r="G31" s="26">
        <v>800</v>
      </c>
      <c r="H31" s="26">
        <v>1200</v>
      </c>
      <c r="I31" s="26">
        <v>1600</v>
      </c>
      <c r="J31" s="26">
        <v>2000</v>
      </c>
    </row>
  </sheetData>
  <pageMargins left="0.7" right="0.7" top="0.75" bottom="0.75" header="0.511811023622047" footer="0.511811023622047"/>
  <pageSetup paperSize="9" orientation="portrait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M92"/>
  <sheetViews>
    <sheetView showGridLines="0" topLeftCell="A2" zoomScaleNormal="100" workbookViewId="0">
      <selection activeCell="N18" sqref="N18"/>
    </sheetView>
  </sheetViews>
  <sheetFormatPr defaultColWidth="8.7109375" defaultRowHeight="15" x14ac:dyDescent="0.25"/>
  <cols>
    <col min="1" max="1" width="2.42578125" customWidth="1"/>
    <col min="2" max="2" width="43.28515625" customWidth="1"/>
    <col min="3" max="10" width="12" customWidth="1"/>
  </cols>
  <sheetData>
    <row r="2" spans="2:10" ht="18.75" customHeight="1" x14ac:dyDescent="0.25">
      <c r="B2" s="14" t="s">
        <v>62</v>
      </c>
    </row>
    <row r="3" spans="2:10" x14ac:dyDescent="0.25">
      <c r="B3" s="27" t="s">
        <v>63</v>
      </c>
    </row>
    <row r="5" spans="2:10" x14ac:dyDescent="0.25">
      <c r="C5" s="28" t="s">
        <v>30</v>
      </c>
      <c r="D5" s="28" t="s">
        <v>31</v>
      </c>
      <c r="E5" s="28" t="s">
        <v>32</v>
      </c>
      <c r="F5" s="28" t="s">
        <v>33</v>
      </c>
      <c r="G5" s="28" t="s">
        <v>34</v>
      </c>
      <c r="H5" s="28" t="s">
        <v>35</v>
      </c>
      <c r="I5" s="28" t="s">
        <v>36</v>
      </c>
      <c r="J5" s="28" t="s">
        <v>37</v>
      </c>
    </row>
    <row r="6" spans="2:10" x14ac:dyDescent="0.25">
      <c r="C6" s="29" t="s">
        <v>38</v>
      </c>
      <c r="D6" s="29" t="s">
        <v>38</v>
      </c>
      <c r="E6" s="29" t="s">
        <v>38</v>
      </c>
      <c r="F6" s="29" t="s">
        <v>39</v>
      </c>
      <c r="G6" s="29" t="s">
        <v>39</v>
      </c>
      <c r="H6" s="29" t="s">
        <v>39</v>
      </c>
      <c r="I6" s="29" t="s">
        <v>39</v>
      </c>
      <c r="J6" s="29" t="s">
        <v>39</v>
      </c>
    </row>
    <row r="8" spans="2:10" x14ac:dyDescent="0.25">
      <c r="B8" s="17" t="s">
        <v>181</v>
      </c>
      <c r="C8" s="17"/>
      <c r="D8" s="17"/>
      <c r="E8" s="17"/>
      <c r="F8" s="17"/>
      <c r="G8" s="17"/>
      <c r="H8" s="17"/>
      <c r="I8" s="17"/>
      <c r="J8" s="17"/>
    </row>
    <row r="9" spans="2:10" x14ac:dyDescent="0.25">
      <c r="B9" s="30" t="s">
        <v>64</v>
      </c>
      <c r="C9" s="26">
        <v>17519</v>
      </c>
      <c r="D9" s="26">
        <v>15641</v>
      </c>
      <c r="E9" s="26">
        <v>17682</v>
      </c>
      <c r="F9" s="25">
        <f>E9*(1+'Drivers &amp; Assumptions'!F8)</f>
        <v>20687.939999999999</v>
      </c>
      <c r="G9" s="25">
        <f>F9*(1+'Drivers &amp; Assumptions'!G8)</f>
        <v>22963.613400000002</v>
      </c>
      <c r="H9" s="25">
        <f>G9*(1+'Drivers &amp; Assumptions'!H8)</f>
        <v>24571.066338000004</v>
      </c>
      <c r="I9" s="25">
        <f>H9*(1+'Drivers &amp; Assumptions'!I8)</f>
        <v>26045.330318280005</v>
      </c>
      <c r="J9" s="25">
        <f>I9*(1+'Drivers &amp; Assumptions'!J8)</f>
        <v>27347.596834194006</v>
      </c>
    </row>
    <row r="10" spans="2:10" x14ac:dyDescent="0.25">
      <c r="B10" s="30" t="s">
        <v>65</v>
      </c>
      <c r="C10" s="26">
        <v>6500</v>
      </c>
      <c r="D10" s="26">
        <v>6547</v>
      </c>
      <c r="E10" s="26">
        <v>7599</v>
      </c>
      <c r="F10" s="25">
        <f>F9*(1-'Drivers &amp; Assumptions'!F9)</f>
        <v>8688.9348000000009</v>
      </c>
      <c r="G10" s="25">
        <f>G9*(1-'Drivers &amp; Assumptions'!G9)</f>
        <v>9644.7176280000022</v>
      </c>
      <c r="H10" s="25">
        <f>H9*(1-'Drivers &amp; Assumptions'!H9)</f>
        <v>10319.847861960003</v>
      </c>
      <c r="I10" s="25">
        <f>I9*(1-'Drivers &amp; Assumptions'!I9)</f>
        <v>10939.038733677602</v>
      </c>
      <c r="J10" s="25">
        <f>J9*(1-'Drivers &amp; Assumptions'!J9)</f>
        <v>11485.990670361483</v>
      </c>
    </row>
    <row r="11" spans="2:10" x14ac:dyDescent="0.25">
      <c r="B11" s="31" t="s">
        <v>66</v>
      </c>
      <c r="C11" s="32">
        <f t="shared" ref="C11:J11" si="0">C9-C10</f>
        <v>11019</v>
      </c>
      <c r="D11" s="32">
        <f t="shared" si="0"/>
        <v>9094</v>
      </c>
      <c r="E11" s="32">
        <f t="shared" si="0"/>
        <v>10083</v>
      </c>
      <c r="F11" s="32">
        <f t="shared" si="0"/>
        <v>11999.005199999998</v>
      </c>
      <c r="G11" s="32">
        <f t="shared" si="0"/>
        <v>13318.895772</v>
      </c>
      <c r="H11" s="32">
        <f t="shared" si="0"/>
        <v>14251.218476040001</v>
      </c>
      <c r="I11" s="32">
        <f t="shared" si="0"/>
        <v>15106.291584602403</v>
      </c>
      <c r="J11" s="32">
        <f t="shared" si="0"/>
        <v>15861.606163832523</v>
      </c>
    </row>
    <row r="12" spans="2:10" x14ac:dyDescent="0.25">
      <c r="B12" s="18" t="s">
        <v>67</v>
      </c>
      <c r="C12" s="26">
        <v>1863</v>
      </c>
      <c r="D12" s="26">
        <v>1959</v>
      </c>
      <c r="E12" s="26">
        <v>2083</v>
      </c>
      <c r="F12" s="25">
        <f>F9*'Drivers &amp; Assumptions'!F10</f>
        <v>2399.8010399999998</v>
      </c>
      <c r="G12" s="25">
        <f>G9*'Drivers &amp; Assumptions'!G10</f>
        <v>2663.7791544000002</v>
      </c>
      <c r="H12" s="25">
        <f>H9*'Drivers &amp; Assumptions'!H10</f>
        <v>2850.2436952080006</v>
      </c>
      <c r="I12" s="25">
        <f>I9*'Drivers &amp; Assumptions'!I10</f>
        <v>3021.2583169204809</v>
      </c>
      <c r="J12" s="25">
        <f>J9*'Drivers &amp; Assumptions'!J10</f>
        <v>3172.3212327665051</v>
      </c>
    </row>
    <row r="13" spans="2:10" x14ac:dyDescent="0.25">
      <c r="B13" s="18" t="s">
        <v>68</v>
      </c>
      <c r="C13" s="26">
        <v>1825</v>
      </c>
      <c r="D13" s="26">
        <v>1794</v>
      </c>
      <c r="E13" s="26">
        <v>1860</v>
      </c>
      <c r="F13" s="25">
        <f>F9*'Drivers &amp; Assumptions'!F11</f>
        <v>2234.2975199999996</v>
      </c>
      <c r="G13" s="25">
        <f>G9*'Drivers &amp; Assumptions'!G11</f>
        <v>2480.0702472000003</v>
      </c>
      <c r="H13" s="25">
        <f>H9*'Drivers &amp; Assumptions'!H11</f>
        <v>2653.6751645040003</v>
      </c>
      <c r="I13" s="25">
        <f>I9*'Drivers &amp; Assumptions'!I11</f>
        <v>2812.8956743742406</v>
      </c>
      <c r="J13" s="25">
        <f>J9*'Drivers &amp; Assumptions'!J11</f>
        <v>2953.5404580929526</v>
      </c>
    </row>
    <row r="14" spans="2:10" x14ac:dyDescent="0.25">
      <c r="B14" s="18" t="s">
        <v>69</v>
      </c>
      <c r="C14" s="26">
        <v>0</v>
      </c>
      <c r="D14" s="26">
        <v>-124</v>
      </c>
      <c r="E14" s="26">
        <v>117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</row>
    <row r="15" spans="2:10" x14ac:dyDescent="0.25">
      <c r="B15" s="31" t="s">
        <v>70</v>
      </c>
      <c r="C15" s="32">
        <f t="shared" ref="C15:J15" si="1">C11-C12-C13-C14</f>
        <v>7331</v>
      </c>
      <c r="D15" s="32">
        <f t="shared" si="1"/>
        <v>5465</v>
      </c>
      <c r="E15" s="32">
        <f t="shared" si="1"/>
        <v>6023</v>
      </c>
      <c r="F15" s="32">
        <f t="shared" si="1"/>
        <v>7364.9066399999974</v>
      </c>
      <c r="G15" s="32">
        <f t="shared" si="1"/>
        <v>8175.0463704000003</v>
      </c>
      <c r="H15" s="32">
        <f t="shared" si="1"/>
        <v>8747.2996163280004</v>
      </c>
      <c r="I15" s="32">
        <f t="shared" si="1"/>
        <v>9272.1375933076815</v>
      </c>
      <c r="J15" s="32">
        <f t="shared" si="1"/>
        <v>9735.7444729730632</v>
      </c>
    </row>
    <row r="16" spans="2:10" x14ac:dyDescent="0.25">
      <c r="B16" s="18" t="s">
        <v>71</v>
      </c>
      <c r="C16" s="26">
        <v>440</v>
      </c>
      <c r="D16" s="26">
        <v>496</v>
      </c>
      <c r="E16" s="26">
        <v>230</v>
      </c>
      <c r="F16" s="25">
        <f>F9*'Drivers &amp; Assumptions'!F12</f>
        <v>475.82261999999997</v>
      </c>
      <c r="G16" s="25">
        <f>G9*'Drivers &amp; Assumptions'!G12</f>
        <v>528.16310820000001</v>
      </c>
      <c r="H16" s="25">
        <f>H9*'Drivers &amp; Assumptions'!H12</f>
        <v>565.13452577400005</v>
      </c>
      <c r="I16" s="25">
        <f>I9*'Drivers &amp; Assumptions'!I12</f>
        <v>599.04259732044011</v>
      </c>
      <c r="J16" s="25">
        <f>J9*'Drivers &amp; Assumptions'!J12</f>
        <v>628.99472718646211</v>
      </c>
    </row>
    <row r="17" spans="2:10" x14ac:dyDescent="0.25">
      <c r="B17" s="18" t="s">
        <v>72</v>
      </c>
      <c r="C17" s="26">
        <v>353</v>
      </c>
      <c r="D17" s="26">
        <v>508</v>
      </c>
      <c r="E17" s="26">
        <v>543</v>
      </c>
      <c r="F17" s="25">
        <f>(F44+F50)*'Drivers &amp; Assumptions'!F26</f>
        <v>547.87199999999996</v>
      </c>
      <c r="G17" s="25">
        <f>(G44+G50)*'Drivers &amp; Assumptions'!G26</f>
        <v>547.87199999999996</v>
      </c>
      <c r="H17" s="25">
        <f>(H44+H50)*'Drivers &amp; Assumptions'!H26</f>
        <v>547.87199999999996</v>
      </c>
      <c r="I17" s="25">
        <f>(I44+I50)*'Drivers &amp; Assumptions'!I26</f>
        <v>547.87199999999996</v>
      </c>
      <c r="J17" s="25">
        <f>(J44+J50)*'Drivers &amp; Assumptions'!J26</f>
        <v>547.87199999999996</v>
      </c>
    </row>
    <row r="18" spans="2:10" x14ac:dyDescent="0.25">
      <c r="B18" s="31" t="s">
        <v>73</v>
      </c>
      <c r="C18" s="32">
        <f t="shared" ref="C18:J18" si="2">C15+C16-C17</f>
        <v>7418</v>
      </c>
      <c r="D18" s="32">
        <f t="shared" si="2"/>
        <v>5453</v>
      </c>
      <c r="E18" s="32">
        <f t="shared" si="2"/>
        <v>5710</v>
      </c>
      <c r="F18" s="32">
        <f t="shared" si="2"/>
        <v>7292.857259999997</v>
      </c>
      <c r="G18" s="32">
        <f t="shared" si="2"/>
        <v>8155.3374785999995</v>
      </c>
      <c r="H18" s="32">
        <f t="shared" si="2"/>
        <v>8764.5621421020005</v>
      </c>
      <c r="I18" s="32">
        <f t="shared" si="2"/>
        <v>9323.3081906281222</v>
      </c>
      <c r="J18" s="32">
        <f t="shared" si="2"/>
        <v>9816.867200159526</v>
      </c>
    </row>
    <row r="19" spans="2:10" ht="15" customHeight="1" x14ac:dyDescent="0.25">
      <c r="B19" s="18" t="s">
        <v>74</v>
      </c>
      <c r="C19" s="26">
        <v>908</v>
      </c>
      <c r="D19" s="26">
        <v>654</v>
      </c>
      <c r="E19" s="26">
        <v>709</v>
      </c>
      <c r="F19" s="25">
        <f>F18*'Drivers &amp; Assumptions'!F13</f>
        <v>889.72858571999961</v>
      </c>
      <c r="G19" s="25">
        <f>G18*'Drivers &amp; Assumptions'!G13</f>
        <v>994.95117238919988</v>
      </c>
      <c r="H19" s="25">
        <f>H18*'Drivers &amp; Assumptions'!H13</f>
        <v>1069.276581336444</v>
      </c>
      <c r="I19" s="25">
        <f>I18*'Drivers &amp; Assumptions'!I13</f>
        <v>1137.4435992566309</v>
      </c>
      <c r="J19" s="25">
        <f>J18*'Drivers &amp; Assumptions'!J13</f>
        <v>1197.6577984194621</v>
      </c>
    </row>
    <row r="20" spans="2:10" ht="15" customHeight="1" x14ac:dyDescent="0.25">
      <c r="B20" s="33" t="s">
        <v>75</v>
      </c>
      <c r="C20" s="34">
        <f t="shared" ref="C20:J20" si="3">C18-C19</f>
        <v>6510</v>
      </c>
      <c r="D20" s="34">
        <f t="shared" si="3"/>
        <v>4799</v>
      </c>
      <c r="E20" s="34">
        <f t="shared" si="3"/>
        <v>5001</v>
      </c>
      <c r="F20" s="34">
        <f t="shared" si="3"/>
        <v>6403.1286742799975</v>
      </c>
      <c r="G20" s="34">
        <f t="shared" si="3"/>
        <v>7160.3863062107994</v>
      </c>
      <c r="H20" s="34">
        <f t="shared" si="3"/>
        <v>7695.2855607655565</v>
      </c>
      <c r="I20" s="34">
        <f t="shared" si="3"/>
        <v>8185.8645913714918</v>
      </c>
      <c r="J20" s="34">
        <f t="shared" si="3"/>
        <v>8619.2094017400632</v>
      </c>
    </row>
    <row r="22" spans="2:10" x14ac:dyDescent="0.25">
      <c r="B22" s="18" t="s">
        <v>76</v>
      </c>
      <c r="C22" s="35">
        <v>7.07</v>
      </c>
      <c r="D22" s="35">
        <v>5.2</v>
      </c>
      <c r="E22" s="35">
        <v>5.45</v>
      </c>
      <c r="F22" s="36">
        <f>F20/F23</f>
        <v>7.0132844187075545</v>
      </c>
      <c r="G22" s="36">
        <f>G20/G23</f>
        <v>7.8427013211509307</v>
      </c>
      <c r="H22" s="36">
        <f>H20/H23</f>
        <v>8.4285712604222969</v>
      </c>
      <c r="I22" s="36">
        <f>I20/I23</f>
        <v>8.9658976904397498</v>
      </c>
      <c r="J22" s="36">
        <f>J20/J23</f>
        <v>9.4405360369551623</v>
      </c>
    </row>
    <row r="23" spans="2:10" x14ac:dyDescent="0.25">
      <c r="B23" s="18" t="s">
        <v>77</v>
      </c>
      <c r="C23" s="37">
        <v>916</v>
      </c>
      <c r="D23" s="37">
        <v>919</v>
      </c>
      <c r="E23" s="37">
        <v>913</v>
      </c>
      <c r="F23" s="38">
        <f>E23</f>
        <v>913</v>
      </c>
      <c r="G23" s="38">
        <f>F23</f>
        <v>913</v>
      </c>
      <c r="H23" s="38">
        <f>G23</f>
        <v>913</v>
      </c>
      <c r="I23" s="38">
        <f>H23</f>
        <v>913</v>
      </c>
      <c r="J23" s="38">
        <f>I23</f>
        <v>913</v>
      </c>
    </row>
    <row r="25" spans="2:10" x14ac:dyDescent="0.25">
      <c r="B25" s="17" t="s">
        <v>180</v>
      </c>
      <c r="C25" s="17"/>
      <c r="D25" s="17"/>
      <c r="E25" s="17"/>
      <c r="F25" s="17"/>
      <c r="G25" s="17"/>
      <c r="H25" s="17"/>
      <c r="I25" s="17"/>
      <c r="J25" s="17"/>
    </row>
    <row r="26" spans="2:10" x14ac:dyDescent="0.25">
      <c r="B26" s="39" t="s">
        <v>78</v>
      </c>
    </row>
    <row r="27" spans="2:10" x14ac:dyDescent="0.25">
      <c r="B27" s="18" t="s">
        <v>79</v>
      </c>
      <c r="C27" s="26">
        <v>2964</v>
      </c>
      <c r="D27" s="26">
        <v>3200</v>
      </c>
      <c r="E27" s="26">
        <v>3225</v>
      </c>
      <c r="F27" s="40">
        <f>F63-SUM(F35:F40)-SUM(F28:F31)</f>
        <v>1115.057933129312</v>
      </c>
      <c r="G27" s="40">
        <f>G63-SUM(G35:G40)-SUM(G28:G31)</f>
        <v>580.97872081353489</v>
      </c>
      <c r="H27" s="40">
        <f>H63-SUM(H35:H40)-SUM(H28:H31)</f>
        <v>601.47483809668847</v>
      </c>
      <c r="I27" s="40">
        <f>I63-SUM(I35:I40)-SUM(I28:I31)</f>
        <v>941.74751292545989</v>
      </c>
      <c r="J27" s="40">
        <f>J63-SUM(J35:J40)-SUM(J28:J31)</f>
        <v>1542.8580684060962</v>
      </c>
    </row>
    <row r="28" spans="2:10" x14ac:dyDescent="0.25">
      <c r="B28" s="18" t="s">
        <v>80</v>
      </c>
      <c r="C28" s="26">
        <v>5611</v>
      </c>
      <c r="D28" s="26">
        <v>4380</v>
      </c>
      <c r="E28" s="26">
        <v>1656</v>
      </c>
      <c r="F28" s="40">
        <f>E28</f>
        <v>1656</v>
      </c>
      <c r="G28" s="40">
        <f>F28</f>
        <v>1656</v>
      </c>
      <c r="H28" s="40">
        <f>G28</f>
        <v>1656</v>
      </c>
      <c r="I28" s="40">
        <f>H28</f>
        <v>1656</v>
      </c>
      <c r="J28" s="40">
        <f>I28</f>
        <v>1656</v>
      </c>
    </row>
    <row r="29" spans="2:10" x14ac:dyDescent="0.25">
      <c r="B29" s="18" t="s">
        <v>81</v>
      </c>
      <c r="C29" s="26">
        <v>1787</v>
      </c>
      <c r="D29" s="26">
        <v>1719</v>
      </c>
      <c r="E29" s="26">
        <v>1963</v>
      </c>
      <c r="F29" s="25">
        <f>F9*'Drivers &amp; Assumptions'!F20/365</f>
        <v>2267.1715068493149</v>
      </c>
      <c r="G29" s="25">
        <f>G9*'Drivers &amp; Assumptions'!G20/365</f>
        <v>2516.5603726027398</v>
      </c>
      <c r="H29" s="25">
        <f>H9*'Drivers &amp; Assumptions'!H20/365</f>
        <v>2692.719598684932</v>
      </c>
      <c r="I29" s="25">
        <f>I9*'Drivers &amp; Assumptions'!I20/365</f>
        <v>2854.2827746060279</v>
      </c>
      <c r="J29" s="25">
        <f>J9*'Drivers &amp; Assumptions'!J20/365</f>
        <v>2996.9969133363297</v>
      </c>
    </row>
    <row r="30" spans="2:10" x14ac:dyDescent="0.25">
      <c r="B30" s="18" t="s">
        <v>82</v>
      </c>
      <c r="C30" s="26">
        <v>3999</v>
      </c>
      <c r="D30" s="26">
        <v>4527</v>
      </c>
      <c r="E30" s="26">
        <v>4804</v>
      </c>
      <c r="F30" s="25">
        <f>F10*'Drivers &amp; Assumptions'!F21/365</f>
        <v>5615.6704638904112</v>
      </c>
      <c r="G30" s="25">
        <f>G10*'Drivers &amp; Assumptions'!G21/365</f>
        <v>6233.3942149183576</v>
      </c>
      <c r="H30" s="25">
        <f>H10*'Drivers &amp; Assumptions'!H21/365</f>
        <v>6669.7318099626427</v>
      </c>
      <c r="I30" s="25">
        <f>I10*'Drivers &amp; Assumptions'!I21/365</f>
        <v>7069.9157185604008</v>
      </c>
      <c r="J30" s="25">
        <f>J10*'Drivers &amp; Assumptions'!J21/365</f>
        <v>7423.411504488422</v>
      </c>
    </row>
    <row r="31" spans="2:10" x14ac:dyDescent="0.25">
      <c r="B31" s="18" t="s">
        <v>83</v>
      </c>
      <c r="C31" s="26">
        <v>761</v>
      </c>
      <c r="D31" s="26">
        <v>1200</v>
      </c>
      <c r="E31" s="26">
        <v>2102</v>
      </c>
      <c r="F31" s="40">
        <f>E31</f>
        <v>2102</v>
      </c>
      <c r="G31" s="40">
        <f>F31</f>
        <v>2102</v>
      </c>
      <c r="H31" s="40">
        <f>G31</f>
        <v>2102</v>
      </c>
      <c r="I31" s="40">
        <f>H31</f>
        <v>2102</v>
      </c>
      <c r="J31" s="40">
        <f>I31</f>
        <v>2102</v>
      </c>
    </row>
    <row r="32" spans="2:10" x14ac:dyDescent="0.25">
      <c r="B32" s="31" t="s">
        <v>84</v>
      </c>
      <c r="C32" s="32">
        <f>C27+C28+C29+C30+C31</f>
        <v>15122</v>
      </c>
      <c r="D32" s="32">
        <f>D27+D28+D29+D30+D31</f>
        <v>15026</v>
      </c>
      <c r="E32" s="32">
        <f>E27+E28+E29+E30+E31</f>
        <v>13750</v>
      </c>
      <c r="F32" s="32">
        <f>SUM(F27:F31)</f>
        <v>12755.899903869038</v>
      </c>
      <c r="G32" s="32">
        <f>SUM(G27:G31)</f>
        <v>13088.933308334632</v>
      </c>
      <c r="H32" s="32">
        <f>SUM(H27:H31)</f>
        <v>13721.926246744264</v>
      </c>
      <c r="I32" s="32">
        <f>SUM(I27:I31)</f>
        <v>14623.94600609189</v>
      </c>
      <c r="J32" s="32">
        <f>SUM(J27:J31)</f>
        <v>15721.266486230848</v>
      </c>
    </row>
    <row r="33" spans="2:10" x14ac:dyDescent="0.25">
      <c r="B33" s="18" t="s">
        <v>85</v>
      </c>
      <c r="C33" s="26">
        <v>13268</v>
      </c>
      <c r="D33" s="26">
        <v>15254</v>
      </c>
      <c r="E33" s="26">
        <v>17682</v>
      </c>
      <c r="F33" s="25">
        <f>E33+Model!F9*'Drivers &amp; Assumptions'!F16</f>
        <v>21819.588</v>
      </c>
      <c r="G33" s="25">
        <f>F33+G9*'Drivers &amp; Assumptions'!G16</f>
        <v>25493.766144000001</v>
      </c>
      <c r="H33" s="25">
        <f>G33+H9*'Drivers &amp; Assumptions'!H16</f>
        <v>28933.715431320001</v>
      </c>
      <c r="I33" s="25">
        <f>H33+I9*'Drivers &amp; Assumptions'!I16</f>
        <v>32059.155069513603</v>
      </c>
      <c r="J33" s="25">
        <f>I33+J9*'Drivers &amp; Assumptions'!J16</f>
        <v>34793.914752933008</v>
      </c>
    </row>
    <row r="34" spans="2:10" x14ac:dyDescent="0.25">
      <c r="B34" s="18" t="s">
        <v>86</v>
      </c>
      <c r="C34" s="26">
        <v>-3269</v>
      </c>
      <c r="D34" s="26">
        <v>-3907</v>
      </c>
      <c r="E34" s="26">
        <v>-5362</v>
      </c>
      <c r="F34" s="25">
        <f>E34-E35*'Drivers &amp; Assumptions'!F17</f>
        <v>-7419.4400000000005</v>
      </c>
      <c r="G34" s="25">
        <f>F34-F35*'Drivers &amp; Assumptions'!G17</f>
        <v>-9824.2647160000015</v>
      </c>
      <c r="H34" s="25">
        <f>G34-G35*'Drivers &amp; Assumptions'!H17</f>
        <v>-12441.071454476001</v>
      </c>
      <c r="I34" s="25">
        <f>H34-H35*'Drivers &amp; Assumptions'!I17</f>
        <v>-15195.34299860895</v>
      </c>
      <c r="J34" s="25">
        <f>I34-I35*'Drivers &amp; Assumptions'!J17</f>
        <v>-18011.599614450028</v>
      </c>
    </row>
    <row r="35" spans="2:10" ht="15" customHeight="1" x14ac:dyDescent="0.25">
      <c r="B35" s="41" t="s">
        <v>87</v>
      </c>
      <c r="C35" s="32">
        <f t="shared" ref="C35:J35" si="4">C33+C34</f>
        <v>9999</v>
      </c>
      <c r="D35" s="32">
        <f t="shared" si="4"/>
        <v>11347</v>
      </c>
      <c r="E35" s="32">
        <f t="shared" si="4"/>
        <v>12320</v>
      </c>
      <c r="F35" s="32">
        <f t="shared" si="4"/>
        <v>14400.147999999999</v>
      </c>
      <c r="G35" s="32">
        <f t="shared" si="4"/>
        <v>15669.501428</v>
      </c>
      <c r="H35" s="32">
        <f t="shared" si="4"/>
        <v>16492.643976844</v>
      </c>
      <c r="I35" s="32">
        <f t="shared" si="4"/>
        <v>16863.812070904653</v>
      </c>
      <c r="J35" s="32">
        <f t="shared" si="4"/>
        <v>16782.31513848298</v>
      </c>
    </row>
    <row r="36" spans="2:10" ht="15" customHeight="1" x14ac:dyDescent="0.25">
      <c r="B36" s="18" t="s">
        <v>88</v>
      </c>
      <c r="C36" s="26">
        <v>4362</v>
      </c>
      <c r="D36" s="26">
        <v>4362</v>
      </c>
      <c r="E36" s="26">
        <v>4330</v>
      </c>
      <c r="F36" s="40">
        <f t="shared" ref="F36:J40" si="5">E36</f>
        <v>4330</v>
      </c>
      <c r="G36" s="40">
        <f t="shared" si="5"/>
        <v>4330</v>
      </c>
      <c r="H36" s="40">
        <f t="shared" si="5"/>
        <v>4330</v>
      </c>
      <c r="I36" s="40">
        <f t="shared" si="5"/>
        <v>4330</v>
      </c>
      <c r="J36" s="40">
        <f t="shared" si="5"/>
        <v>4330</v>
      </c>
    </row>
    <row r="37" spans="2:10" x14ac:dyDescent="0.25">
      <c r="B37" s="18" t="s">
        <v>89</v>
      </c>
      <c r="C37" s="26">
        <v>757</v>
      </c>
      <c r="D37" s="26">
        <v>936</v>
      </c>
      <c r="E37" s="26">
        <v>967</v>
      </c>
      <c r="F37" s="40">
        <f t="shared" si="5"/>
        <v>967</v>
      </c>
      <c r="G37" s="40">
        <f t="shared" si="5"/>
        <v>967</v>
      </c>
      <c r="H37" s="40">
        <f t="shared" si="5"/>
        <v>967</v>
      </c>
      <c r="I37" s="40">
        <f t="shared" si="5"/>
        <v>967</v>
      </c>
      <c r="J37" s="40">
        <f t="shared" si="5"/>
        <v>967</v>
      </c>
    </row>
    <row r="38" spans="2:10" x14ac:dyDescent="0.25">
      <c r="B38" s="18" t="s">
        <v>90</v>
      </c>
      <c r="C38" s="26">
        <v>223</v>
      </c>
      <c r="D38" s="26">
        <v>257</v>
      </c>
      <c r="E38" s="26">
        <v>238</v>
      </c>
      <c r="F38" s="40">
        <f t="shared" si="5"/>
        <v>238</v>
      </c>
      <c r="G38" s="40">
        <f t="shared" si="5"/>
        <v>238</v>
      </c>
      <c r="H38" s="40">
        <f t="shared" si="5"/>
        <v>238</v>
      </c>
      <c r="I38" s="40">
        <f t="shared" si="5"/>
        <v>238</v>
      </c>
      <c r="J38" s="40">
        <f t="shared" si="5"/>
        <v>238</v>
      </c>
    </row>
    <row r="39" spans="2:10" x14ac:dyDescent="0.25">
      <c r="B39" s="18" t="s">
        <v>91</v>
      </c>
      <c r="C39" s="26">
        <v>173</v>
      </c>
      <c r="D39" s="26">
        <v>233</v>
      </c>
      <c r="E39" s="26">
        <v>324</v>
      </c>
      <c r="F39" s="40">
        <f t="shared" si="5"/>
        <v>324</v>
      </c>
      <c r="G39" s="40">
        <f t="shared" si="5"/>
        <v>324</v>
      </c>
      <c r="H39" s="40">
        <f t="shared" si="5"/>
        <v>324</v>
      </c>
      <c r="I39" s="40">
        <f t="shared" si="5"/>
        <v>324</v>
      </c>
      <c r="J39" s="40">
        <f t="shared" si="5"/>
        <v>324</v>
      </c>
    </row>
    <row r="40" spans="2:10" x14ac:dyDescent="0.25">
      <c r="B40" s="18" t="s">
        <v>92</v>
      </c>
      <c r="C40" s="26">
        <v>1712</v>
      </c>
      <c r="D40" s="26">
        <v>3348</v>
      </c>
      <c r="E40" s="26">
        <v>2656</v>
      </c>
      <c r="F40" s="40">
        <f t="shared" si="5"/>
        <v>2656</v>
      </c>
      <c r="G40" s="40">
        <f t="shared" si="5"/>
        <v>2656</v>
      </c>
      <c r="H40" s="40">
        <f t="shared" si="5"/>
        <v>2656</v>
      </c>
      <c r="I40" s="40">
        <f t="shared" si="5"/>
        <v>2656</v>
      </c>
      <c r="J40" s="40">
        <f t="shared" si="5"/>
        <v>2656</v>
      </c>
    </row>
    <row r="41" spans="2:10" x14ac:dyDescent="0.25">
      <c r="B41" s="33" t="s">
        <v>93</v>
      </c>
      <c r="C41" s="34">
        <f>C32+C35+C36+C37+C38+C39+C40</f>
        <v>32348</v>
      </c>
      <c r="D41" s="34">
        <f>D32+D35+D36+D37+D38+D39+D40</f>
        <v>35509</v>
      </c>
      <c r="E41" s="34">
        <f>E32+E35+E36+E37+E38+E39+E40</f>
        <v>34585</v>
      </c>
      <c r="F41" s="34">
        <f>F32+F35+SUM(F36:F40)</f>
        <v>35671.047903869039</v>
      </c>
      <c r="G41" s="34">
        <f>G32+G35+SUM(G36:G40)</f>
        <v>37273.434736334631</v>
      </c>
      <c r="H41" s="34">
        <f>H32+H35+SUM(H36:H40)</f>
        <v>38729.570223588264</v>
      </c>
      <c r="I41" s="34">
        <f>I32+I35+SUM(I36:I40)</f>
        <v>40002.758076996543</v>
      </c>
      <c r="J41" s="34">
        <f>J32+J35+SUM(J36:J40)</f>
        <v>41018.581624713828</v>
      </c>
    </row>
    <row r="43" spans="2:10" x14ac:dyDescent="0.25">
      <c r="B43" s="39" t="s">
        <v>94</v>
      </c>
    </row>
    <row r="44" spans="2:10" x14ac:dyDescent="0.25">
      <c r="B44" s="18" t="s">
        <v>95</v>
      </c>
      <c r="C44" s="26">
        <v>599</v>
      </c>
      <c r="D44" s="26">
        <v>750</v>
      </c>
      <c r="E44" s="26">
        <v>500</v>
      </c>
      <c r="F44" s="40">
        <f>E44</f>
        <v>500</v>
      </c>
      <c r="G44" s="40">
        <f>F44</f>
        <v>500</v>
      </c>
      <c r="H44" s="40">
        <f>G44</f>
        <v>500</v>
      </c>
      <c r="I44" s="40">
        <f>H44</f>
        <v>500</v>
      </c>
      <c r="J44" s="40">
        <f>I44</f>
        <v>500</v>
      </c>
    </row>
    <row r="45" spans="2:10" x14ac:dyDescent="0.25">
      <c r="B45" s="18" t="s">
        <v>96</v>
      </c>
      <c r="C45" s="26">
        <v>802</v>
      </c>
      <c r="D45" s="26">
        <v>820</v>
      </c>
      <c r="E45" s="26">
        <v>756</v>
      </c>
      <c r="F45" s="25">
        <f>F10*'Drivers &amp; Assumptions'!F22/365</f>
        <v>856.99082958904125</v>
      </c>
      <c r="G45" s="25">
        <f>G10*'Drivers &amp; Assumptions'!G22/365</f>
        <v>951.25982084383577</v>
      </c>
      <c r="H45" s="25">
        <f>H10*'Drivers &amp; Assumptions'!H22/365</f>
        <v>1017.8480083029044</v>
      </c>
      <c r="I45" s="25">
        <f>I10*'Drivers &amp; Assumptions'!I22/365</f>
        <v>1078.9188888010785</v>
      </c>
      <c r="J45" s="25">
        <f>J10*'Drivers &amp; Assumptions'!J22/365</f>
        <v>1132.8648332411326</v>
      </c>
    </row>
    <row r="46" spans="2:10" x14ac:dyDescent="0.25">
      <c r="B46" s="18" t="s">
        <v>97</v>
      </c>
      <c r="C46" s="26">
        <v>836</v>
      </c>
      <c r="D46" s="26">
        <v>839</v>
      </c>
      <c r="E46" s="26">
        <v>829</v>
      </c>
      <c r="F46" s="40">
        <f t="shared" ref="F46:J47" si="6">E46</f>
        <v>829</v>
      </c>
      <c r="G46" s="40">
        <f t="shared" si="6"/>
        <v>829</v>
      </c>
      <c r="H46" s="40">
        <f t="shared" si="6"/>
        <v>829</v>
      </c>
      <c r="I46" s="40">
        <f t="shared" si="6"/>
        <v>829</v>
      </c>
      <c r="J46" s="40">
        <f t="shared" si="6"/>
        <v>829</v>
      </c>
    </row>
    <row r="47" spans="2:10" x14ac:dyDescent="0.25">
      <c r="B47" s="18" t="s">
        <v>98</v>
      </c>
      <c r="C47" s="26">
        <v>172</v>
      </c>
      <c r="D47" s="26">
        <v>159</v>
      </c>
      <c r="E47" s="26">
        <v>67</v>
      </c>
      <c r="F47" s="40">
        <f t="shared" si="6"/>
        <v>67</v>
      </c>
      <c r="G47" s="40">
        <f t="shared" si="6"/>
        <v>67</v>
      </c>
      <c r="H47" s="40">
        <f t="shared" si="6"/>
        <v>67</v>
      </c>
      <c r="I47" s="40">
        <f t="shared" si="6"/>
        <v>67</v>
      </c>
      <c r="J47" s="40">
        <f t="shared" si="6"/>
        <v>67</v>
      </c>
    </row>
    <row r="48" spans="2:10" x14ac:dyDescent="0.25">
      <c r="B48" s="18" t="s">
        <v>99</v>
      </c>
      <c r="C48" s="26">
        <v>911</v>
      </c>
      <c r="D48" s="26">
        <v>1075</v>
      </c>
      <c r="E48" s="26">
        <v>1007</v>
      </c>
      <c r="F48" s="40">
        <f>E48+F75</f>
        <v>1213.8794</v>
      </c>
      <c r="G48" s="40">
        <f>F48+G75</f>
        <v>1443.5155340000001</v>
      </c>
      <c r="H48" s="40">
        <f>G48+H75</f>
        <v>1689.2261973800003</v>
      </c>
      <c r="I48" s="40">
        <f>H48+I75</f>
        <v>1949.6795005628003</v>
      </c>
      <c r="J48" s="40">
        <f>I48+J75</f>
        <v>2223.1554689047402</v>
      </c>
    </row>
    <row r="49" spans="2:10" ht="15" customHeight="1" x14ac:dyDescent="0.25">
      <c r="B49" s="31" t="s">
        <v>100</v>
      </c>
      <c r="C49" s="32">
        <f>C44+C45+C46+C47+C48</f>
        <v>3320</v>
      </c>
      <c r="D49" s="32">
        <f>D44+D45+D46+D47+D48</f>
        <v>3643</v>
      </c>
      <c r="E49" s="32">
        <f>E44+E45+E46+E47+E48</f>
        <v>3159</v>
      </c>
      <c r="F49" s="32">
        <f>SUM(F44:F48)</f>
        <v>3466.8702295890416</v>
      </c>
      <c r="G49" s="32">
        <f>SUM(G44:G48)</f>
        <v>3790.7753548438359</v>
      </c>
      <c r="H49" s="32">
        <f>SUM(H44:H48)</f>
        <v>4103.0742056829049</v>
      </c>
      <c r="I49" s="32">
        <f>SUM(I44:I48)</f>
        <v>4424.5983893638786</v>
      </c>
      <c r="J49" s="32">
        <f>SUM(J44:J48)</f>
        <v>4752.0203021458728</v>
      </c>
    </row>
    <row r="50" spans="2:10" ht="15" customHeight="1" x14ac:dyDescent="0.25">
      <c r="B50" s="18" t="s">
        <v>101</v>
      </c>
      <c r="C50" s="26">
        <v>10624</v>
      </c>
      <c r="D50" s="26">
        <v>12846</v>
      </c>
      <c r="E50" s="26">
        <v>13548</v>
      </c>
      <c r="F50" s="25">
        <f>E50+'Drivers &amp; Assumptions'!F27</f>
        <v>13548</v>
      </c>
      <c r="G50" s="25">
        <f>F50+'Drivers &amp; Assumptions'!G27</f>
        <v>13548</v>
      </c>
      <c r="H50" s="25">
        <f>G50+'Drivers &amp; Assumptions'!H27</f>
        <v>13548</v>
      </c>
      <c r="I50" s="25">
        <f>H50+'Drivers &amp; Assumptions'!I27</f>
        <v>13548</v>
      </c>
      <c r="J50" s="25">
        <f>I50+'Drivers &amp; Assumptions'!J27</f>
        <v>13548</v>
      </c>
    </row>
    <row r="51" spans="2:10" x14ac:dyDescent="0.25">
      <c r="B51" s="18" t="s">
        <v>102</v>
      </c>
      <c r="C51" s="26">
        <v>108</v>
      </c>
      <c r="D51" s="26">
        <v>110</v>
      </c>
      <c r="E51" s="26">
        <v>124</v>
      </c>
      <c r="F51" s="40">
        <f t="shared" ref="F51:J53" si="7">E51</f>
        <v>124</v>
      </c>
      <c r="G51" s="40">
        <f t="shared" si="7"/>
        <v>124</v>
      </c>
      <c r="H51" s="40">
        <f t="shared" si="7"/>
        <v>124</v>
      </c>
      <c r="I51" s="40">
        <f t="shared" si="7"/>
        <v>124</v>
      </c>
      <c r="J51" s="40">
        <f t="shared" si="7"/>
        <v>124</v>
      </c>
    </row>
    <row r="52" spans="2:10" x14ac:dyDescent="0.25">
      <c r="B52" s="18" t="s">
        <v>103</v>
      </c>
      <c r="C52" s="26">
        <v>63</v>
      </c>
      <c r="D52" s="26">
        <v>53</v>
      </c>
      <c r="E52" s="26">
        <v>66</v>
      </c>
      <c r="F52" s="40">
        <f t="shared" si="7"/>
        <v>66</v>
      </c>
      <c r="G52" s="40">
        <f t="shared" si="7"/>
        <v>66</v>
      </c>
      <c r="H52" s="40">
        <f t="shared" si="7"/>
        <v>66</v>
      </c>
      <c r="I52" s="40">
        <f t="shared" si="7"/>
        <v>66</v>
      </c>
      <c r="J52" s="40">
        <f t="shared" si="7"/>
        <v>66</v>
      </c>
    </row>
    <row r="53" spans="2:10" x14ac:dyDescent="0.25">
      <c r="B53" s="18" t="s">
        <v>104</v>
      </c>
      <c r="C53" s="26">
        <v>1336</v>
      </c>
      <c r="D53" s="26">
        <v>1954</v>
      </c>
      <c r="E53" s="26">
        <v>1415</v>
      </c>
      <c r="F53" s="40">
        <f t="shared" si="7"/>
        <v>1415</v>
      </c>
      <c r="G53" s="40">
        <f t="shared" si="7"/>
        <v>1415</v>
      </c>
      <c r="H53" s="40">
        <f t="shared" si="7"/>
        <v>1415</v>
      </c>
      <c r="I53" s="40">
        <f t="shared" si="7"/>
        <v>1415</v>
      </c>
      <c r="J53" s="40">
        <f t="shared" si="7"/>
        <v>1415</v>
      </c>
    </row>
    <row r="54" spans="2:10" x14ac:dyDescent="0.25">
      <c r="B54" s="31" t="s">
        <v>105</v>
      </c>
      <c r="C54" s="32">
        <f>C49+C50+C51+C52+C53</f>
        <v>15451</v>
      </c>
      <c r="D54" s="32">
        <f>D49+D50+D51+D52+D53</f>
        <v>18606</v>
      </c>
      <c r="E54" s="32">
        <f>E49+E50+E51+E52+E53</f>
        <v>18312</v>
      </c>
      <c r="F54" s="32">
        <f>SUM(F49:F53)</f>
        <v>18619.87022958904</v>
      </c>
      <c r="G54" s="32">
        <f>SUM(G49:G53)</f>
        <v>18943.775354843834</v>
      </c>
      <c r="H54" s="32">
        <f>SUM(H49:H53)</f>
        <v>19256.074205682904</v>
      </c>
      <c r="I54" s="32">
        <f>SUM(I49:I53)</f>
        <v>19577.598389363877</v>
      </c>
      <c r="J54" s="32">
        <f>SUM(J49:J53)</f>
        <v>19905.020302145873</v>
      </c>
    </row>
    <row r="55" spans="2:10" x14ac:dyDescent="0.25">
      <c r="B55" s="39" t="s">
        <v>106</v>
      </c>
    </row>
    <row r="56" spans="2:10" x14ac:dyDescent="0.25">
      <c r="B56" s="18" t="s">
        <v>107</v>
      </c>
      <c r="C56" s="26">
        <v>0</v>
      </c>
      <c r="D56" s="26">
        <v>0</v>
      </c>
      <c r="E56" s="26">
        <v>0</v>
      </c>
      <c r="F56" s="40">
        <f t="shared" ref="F56:J57" si="8">E56</f>
        <v>0</v>
      </c>
      <c r="G56" s="40">
        <f t="shared" si="8"/>
        <v>0</v>
      </c>
      <c r="H56" s="40">
        <f t="shared" si="8"/>
        <v>0</v>
      </c>
      <c r="I56" s="40">
        <f t="shared" si="8"/>
        <v>0</v>
      </c>
      <c r="J56" s="40">
        <f t="shared" si="8"/>
        <v>0</v>
      </c>
    </row>
    <row r="57" spans="2:10" x14ac:dyDescent="0.25">
      <c r="B57" s="18" t="s">
        <v>108</v>
      </c>
      <c r="C57" s="26">
        <v>1741</v>
      </c>
      <c r="D57" s="26">
        <v>1741</v>
      </c>
      <c r="E57" s="26">
        <v>1741</v>
      </c>
      <c r="F57" s="40">
        <f t="shared" si="8"/>
        <v>1741</v>
      </c>
      <c r="G57" s="40">
        <f t="shared" si="8"/>
        <v>1741</v>
      </c>
      <c r="H57" s="40">
        <f t="shared" si="8"/>
        <v>1741</v>
      </c>
      <c r="I57" s="40">
        <f t="shared" si="8"/>
        <v>1741</v>
      </c>
      <c r="J57" s="40">
        <f t="shared" si="8"/>
        <v>1741</v>
      </c>
    </row>
    <row r="58" spans="2:10" x14ac:dyDescent="0.25">
      <c r="B58" s="18" t="s">
        <v>109</v>
      </c>
      <c r="C58" s="26">
        <v>3362</v>
      </c>
      <c r="D58" s="26">
        <v>3935</v>
      </c>
      <c r="E58" s="26">
        <v>4511</v>
      </c>
      <c r="F58" s="40">
        <f>E58+F70</f>
        <v>4930</v>
      </c>
      <c r="G58" s="40">
        <f>F58+G70</f>
        <v>5349</v>
      </c>
      <c r="H58" s="40">
        <f>G58+H70</f>
        <v>5768</v>
      </c>
      <c r="I58" s="40">
        <f>H58+I70</f>
        <v>6187</v>
      </c>
      <c r="J58" s="40">
        <f>I58+J70</f>
        <v>6606</v>
      </c>
    </row>
    <row r="59" spans="2:10" x14ac:dyDescent="0.25">
      <c r="B59" s="18" t="s">
        <v>110</v>
      </c>
      <c r="C59" s="26">
        <v>52283</v>
      </c>
      <c r="D59" s="26">
        <v>52262</v>
      </c>
      <c r="E59" s="26">
        <v>52236</v>
      </c>
      <c r="F59" s="40">
        <f>E59+F20+F84</f>
        <v>53395.177674279999</v>
      </c>
      <c r="G59" s="40">
        <f>F59+G20+G84</f>
        <v>55054.659381490797</v>
      </c>
      <c r="H59" s="40">
        <f>G59+H20+H84</f>
        <v>56979.49601790536</v>
      </c>
      <c r="I59" s="40">
        <f>H59+I20+I84</f>
        <v>59112.159687632658</v>
      </c>
      <c r="J59" s="40">
        <f>I59+J20+J84</f>
        <v>61381.561322567955</v>
      </c>
    </row>
    <row r="60" spans="2:10" x14ac:dyDescent="0.25">
      <c r="B60" s="18" t="s">
        <v>111</v>
      </c>
      <c r="C60" s="26">
        <v>-40284</v>
      </c>
      <c r="D60" s="26">
        <v>-40895</v>
      </c>
      <c r="E60" s="26">
        <v>-42130</v>
      </c>
      <c r="F60" s="25">
        <f>E60-'Drivers &amp; Assumptions'!F31</f>
        <v>-42930</v>
      </c>
      <c r="G60" s="25">
        <f>F60-'Drivers &amp; Assumptions'!G31</f>
        <v>-43730</v>
      </c>
      <c r="H60" s="25">
        <f>G60-'Drivers &amp; Assumptions'!H31</f>
        <v>-44930</v>
      </c>
      <c r="I60" s="25">
        <f>H60-'Drivers &amp; Assumptions'!I31</f>
        <v>-46530</v>
      </c>
      <c r="J60" s="25">
        <f>I60-'Drivers &amp; Assumptions'!J31</f>
        <v>-48530</v>
      </c>
    </row>
    <row r="61" spans="2:10" x14ac:dyDescent="0.25">
      <c r="B61" s="18" t="s">
        <v>112</v>
      </c>
      <c r="C61" s="26">
        <v>-205</v>
      </c>
      <c r="D61" s="26">
        <v>-140</v>
      </c>
      <c r="E61" s="26">
        <v>-85</v>
      </c>
      <c r="F61" s="40">
        <f>E61</f>
        <v>-85</v>
      </c>
      <c r="G61" s="40">
        <f>F61</f>
        <v>-85</v>
      </c>
      <c r="H61" s="40">
        <f>G61</f>
        <v>-85</v>
      </c>
      <c r="I61" s="40">
        <f>H61</f>
        <v>-85</v>
      </c>
      <c r="J61" s="40">
        <f>I61</f>
        <v>-85</v>
      </c>
    </row>
    <row r="62" spans="2:10" x14ac:dyDescent="0.25">
      <c r="B62" s="31" t="s">
        <v>113</v>
      </c>
      <c r="C62" s="32">
        <f t="shared" ref="C62:J62" si="9">C56+C57+C58+C59+C60+C61</f>
        <v>16897</v>
      </c>
      <c r="D62" s="32">
        <f t="shared" si="9"/>
        <v>16903</v>
      </c>
      <c r="E62" s="32">
        <f t="shared" si="9"/>
        <v>16273</v>
      </c>
      <c r="F62" s="32">
        <f t="shared" si="9"/>
        <v>17051.177674279999</v>
      </c>
      <c r="G62" s="32">
        <f t="shared" si="9"/>
        <v>18329.659381490797</v>
      </c>
      <c r="H62" s="32">
        <f t="shared" si="9"/>
        <v>19473.49601790536</v>
      </c>
      <c r="I62" s="32">
        <f t="shared" si="9"/>
        <v>20425.159687632666</v>
      </c>
      <c r="J62" s="32">
        <f t="shared" si="9"/>
        <v>21113.561322567955</v>
      </c>
    </row>
    <row r="63" spans="2:10" x14ac:dyDescent="0.25">
      <c r="B63" s="33" t="s">
        <v>114</v>
      </c>
      <c r="C63" s="34">
        <f t="shared" ref="C63:J63" si="10">C54+C62</f>
        <v>32348</v>
      </c>
      <c r="D63" s="34">
        <f t="shared" si="10"/>
        <v>35509</v>
      </c>
      <c r="E63" s="34">
        <f t="shared" si="10"/>
        <v>34585</v>
      </c>
      <c r="F63" s="34">
        <f t="shared" si="10"/>
        <v>35671.047903869039</v>
      </c>
      <c r="G63" s="34">
        <f t="shared" si="10"/>
        <v>37273.434736334631</v>
      </c>
      <c r="H63" s="34">
        <f t="shared" si="10"/>
        <v>38729.570223588264</v>
      </c>
      <c r="I63" s="34">
        <f t="shared" si="10"/>
        <v>40002.758076996543</v>
      </c>
      <c r="J63" s="34">
        <f t="shared" si="10"/>
        <v>41018.581624713828</v>
      </c>
    </row>
    <row r="64" spans="2:10" x14ac:dyDescent="0.25">
      <c r="B64" s="42" t="s">
        <v>115</v>
      </c>
      <c r="C64" s="43"/>
      <c r="D64" s="43"/>
      <c r="E64" s="43"/>
      <c r="F64" s="44" t="b">
        <f>ROUND(F63,0)=ROUND(F41,0)</f>
        <v>1</v>
      </c>
      <c r="G64" s="44" t="b">
        <f>ROUND(G63,0)=ROUND(G41,0)</f>
        <v>1</v>
      </c>
      <c r="H64" s="44" t="b">
        <f>ROUND(H63,0)=ROUND(H41,0)</f>
        <v>1</v>
      </c>
      <c r="I64" s="44" t="b">
        <f>ROUND(I63,0)=ROUND(I41,0)</f>
        <v>1</v>
      </c>
      <c r="J64" s="44" t="b">
        <f>ROUND(J63,0)=ROUND(J41,0)</f>
        <v>1</v>
      </c>
    </row>
    <row r="66" spans="2:13" x14ac:dyDescent="0.25">
      <c r="B66" s="17" t="s">
        <v>179</v>
      </c>
      <c r="C66" s="17"/>
      <c r="D66" s="17"/>
      <c r="E66" s="17"/>
      <c r="F66" s="17"/>
      <c r="G66" s="17"/>
      <c r="H66" s="17"/>
      <c r="I66" s="17"/>
      <c r="J66" s="17"/>
    </row>
    <row r="67" spans="2:13" x14ac:dyDescent="0.25">
      <c r="B67" s="39" t="s">
        <v>116</v>
      </c>
    </row>
    <row r="68" spans="2:13" x14ac:dyDescent="0.25">
      <c r="B68" s="18" t="s">
        <v>75</v>
      </c>
      <c r="C68" s="43">
        <f t="shared" ref="C68:J68" si="11">C20</f>
        <v>6510</v>
      </c>
      <c r="D68" s="43">
        <f t="shared" si="11"/>
        <v>4799</v>
      </c>
      <c r="E68" s="43">
        <f t="shared" si="11"/>
        <v>5001</v>
      </c>
      <c r="F68" s="43">
        <f t="shared" si="11"/>
        <v>6403.1286742799975</v>
      </c>
      <c r="G68" s="43">
        <f t="shared" si="11"/>
        <v>7160.3863062107994</v>
      </c>
      <c r="H68" s="43">
        <f t="shared" si="11"/>
        <v>7695.2855607655565</v>
      </c>
      <c r="I68" s="43">
        <f t="shared" si="11"/>
        <v>8185.8645913714918</v>
      </c>
      <c r="J68" s="43">
        <f t="shared" si="11"/>
        <v>8619.2094017400632</v>
      </c>
    </row>
    <row r="69" spans="2:13" x14ac:dyDescent="0.25">
      <c r="B69" s="18" t="s">
        <v>117</v>
      </c>
      <c r="C69" s="26">
        <v>1238</v>
      </c>
      <c r="D69" s="26">
        <v>1580</v>
      </c>
      <c r="E69" s="26">
        <v>1999</v>
      </c>
      <c r="F69" s="25">
        <f>E35*'Drivers &amp; Assumptions'!F17</f>
        <v>2057.44</v>
      </c>
      <c r="G69" s="25">
        <f>F35*'Drivers &amp; Assumptions'!G17</f>
        <v>2404.8247160000001</v>
      </c>
      <c r="H69" s="25">
        <f>G35*'Drivers &amp; Assumptions'!H17</f>
        <v>2616.8067384760002</v>
      </c>
      <c r="I69" s="25">
        <f>H35*'Drivers &amp; Assumptions'!I17</f>
        <v>2754.2715441329483</v>
      </c>
      <c r="J69" s="25">
        <f>I35*'Drivers &amp; Assumptions'!J17</f>
        <v>2816.2566158410773</v>
      </c>
    </row>
    <row r="70" spans="2:13" x14ac:dyDescent="0.25">
      <c r="B70" s="18" t="s">
        <v>118</v>
      </c>
      <c r="C70" s="26">
        <v>362</v>
      </c>
      <c r="D70" s="26">
        <v>387</v>
      </c>
      <c r="E70" s="26">
        <v>419</v>
      </c>
      <c r="F70" s="40">
        <f>E70</f>
        <v>419</v>
      </c>
      <c r="G70" s="40">
        <f>F70</f>
        <v>419</v>
      </c>
      <c r="H70" s="40">
        <f>G70</f>
        <v>419</v>
      </c>
      <c r="I70" s="40">
        <f>H70</f>
        <v>419</v>
      </c>
      <c r="J70" s="40">
        <f>I70</f>
        <v>419</v>
      </c>
    </row>
    <row r="71" spans="2:13" x14ac:dyDescent="0.25">
      <c r="B71" s="18" t="s">
        <v>119</v>
      </c>
      <c r="C71" s="26">
        <v>-254</v>
      </c>
      <c r="D71" s="26">
        <v>-304</v>
      </c>
      <c r="E71" s="26">
        <v>-24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</row>
    <row r="72" spans="2:13" x14ac:dyDescent="0.25">
      <c r="B72" s="18" t="s">
        <v>120</v>
      </c>
      <c r="C72" s="26">
        <v>108</v>
      </c>
      <c r="D72" s="26">
        <v>68</v>
      </c>
      <c r="E72" s="26">
        <v>-244</v>
      </c>
      <c r="F72" s="40">
        <f t="shared" ref="F72:J73" si="12">-(F29-E29)</f>
        <v>-304.17150684931494</v>
      </c>
      <c r="G72" s="40">
        <f t="shared" si="12"/>
        <v>-249.38886575342485</v>
      </c>
      <c r="H72" s="45">
        <f t="shared" si="12"/>
        <v>-176.15922608219216</v>
      </c>
      <c r="I72" s="45">
        <f t="shared" si="12"/>
        <v>-161.56317592109599</v>
      </c>
      <c r="J72" s="45">
        <f t="shared" si="12"/>
        <v>-142.71413873030178</v>
      </c>
    </row>
    <row r="73" spans="2:13" x14ac:dyDescent="0.25">
      <c r="B73" s="18" t="s">
        <v>121</v>
      </c>
      <c r="C73" s="26">
        <v>-1242</v>
      </c>
      <c r="D73" s="26">
        <v>-528</v>
      </c>
      <c r="E73" s="26">
        <v>-277</v>
      </c>
      <c r="F73" s="40">
        <f t="shared" si="12"/>
        <v>-811.67046389041116</v>
      </c>
      <c r="G73" s="40">
        <f t="shared" si="12"/>
        <v>-617.72375102794649</v>
      </c>
      <c r="H73" s="45">
        <f t="shared" si="12"/>
        <v>-436.33759504428508</v>
      </c>
      <c r="I73" s="45">
        <f t="shared" si="12"/>
        <v>-400.18390859775809</v>
      </c>
      <c r="J73" s="45">
        <f t="shared" si="12"/>
        <v>-353.49578592802118</v>
      </c>
    </row>
    <row r="74" spans="2:13" ht="15" customHeight="1" x14ac:dyDescent="0.25">
      <c r="B74" s="18" t="s">
        <v>122</v>
      </c>
      <c r="C74" s="26">
        <v>-33</v>
      </c>
      <c r="D74" s="26">
        <v>125</v>
      </c>
      <c r="E74" s="26">
        <v>77</v>
      </c>
      <c r="F74" s="40">
        <f>F45-E45</f>
        <v>100.99082958904125</v>
      </c>
      <c r="G74" s="40">
        <f>G45-F45</f>
        <v>94.268991254794514</v>
      </c>
      <c r="H74" s="40">
        <f>H45-G45</f>
        <v>66.588187459068649</v>
      </c>
      <c r="I74" s="40">
        <f>I45-H45</f>
        <v>61.07088049817412</v>
      </c>
      <c r="J74" s="40">
        <f>J45-I45</f>
        <v>53.945944440054063</v>
      </c>
    </row>
    <row r="75" spans="2:13" ht="15" customHeight="1" x14ac:dyDescent="0.25">
      <c r="B75" s="18" t="s">
        <v>123</v>
      </c>
      <c r="C75" s="26">
        <v>-269</v>
      </c>
      <c r="D75" s="26">
        <v>191</v>
      </c>
      <c r="E75" s="26">
        <v>202</v>
      </c>
      <c r="F75" s="25">
        <f>F9*'Drivers &amp; Assumptions'!F23</f>
        <v>206.8794</v>
      </c>
      <c r="G75" s="25">
        <f>G9*'Drivers &amp; Assumptions'!G23</f>
        <v>229.63613400000003</v>
      </c>
      <c r="H75" s="25">
        <f>H9*'Drivers &amp; Assumptions'!H23</f>
        <v>245.71066338000006</v>
      </c>
      <c r="I75" s="25">
        <f>I9*'Drivers &amp; Assumptions'!I23</f>
        <v>260.45330318280003</v>
      </c>
      <c r="J75" s="25">
        <f>J9*'Drivers &amp; Assumptions'!J23</f>
        <v>273.47596834194007</v>
      </c>
    </row>
    <row r="76" spans="2:13" x14ac:dyDescent="0.25">
      <c r="B76" s="31" t="s">
        <v>116</v>
      </c>
      <c r="C76" s="32">
        <f t="shared" ref="C76:J76" si="13">SUM(C68:C75)</f>
        <v>6420</v>
      </c>
      <c r="D76" s="32">
        <f t="shared" si="13"/>
        <v>6318</v>
      </c>
      <c r="E76" s="32">
        <f t="shared" si="13"/>
        <v>7153</v>
      </c>
      <c r="F76" s="32">
        <f t="shared" si="13"/>
        <v>8071.5969331293109</v>
      </c>
      <c r="G76" s="32">
        <f t="shared" si="13"/>
        <v>9441.0035306842219</v>
      </c>
      <c r="H76" s="32">
        <f t="shared" si="13"/>
        <v>10430.894328954148</v>
      </c>
      <c r="I76" s="32">
        <f t="shared" si="13"/>
        <v>11118.913234666557</v>
      </c>
      <c r="J76" s="32">
        <f t="shared" si="13"/>
        <v>11685.678005704811</v>
      </c>
    </row>
    <row r="77" spans="2:13" x14ac:dyDescent="0.25">
      <c r="B77" s="39" t="s">
        <v>124</v>
      </c>
    </row>
    <row r="78" spans="2:13" x14ac:dyDescent="0.25">
      <c r="B78" s="18" t="s">
        <v>125</v>
      </c>
      <c r="C78" s="26">
        <v>-5071</v>
      </c>
      <c r="D78" s="26">
        <v>-4820</v>
      </c>
      <c r="E78" s="26">
        <v>-4550</v>
      </c>
      <c r="F78" s="25">
        <f>-F9*'Drivers &amp; Assumptions'!F16</f>
        <v>-4137.5879999999997</v>
      </c>
      <c r="G78" s="25">
        <f>-G9*'Drivers &amp; Assumptions'!G16</f>
        <v>-3674.1781440000004</v>
      </c>
      <c r="H78" s="25">
        <f>-H9*'Drivers &amp; Assumptions'!H16</f>
        <v>-3439.9492873200011</v>
      </c>
      <c r="I78" s="25">
        <f>-I9*'Drivers &amp; Assumptions'!I16</f>
        <v>-3125.4396381936003</v>
      </c>
      <c r="J78" s="25">
        <f>-J9*'Drivers &amp; Assumptions'!J16</f>
        <v>-2734.759683419401</v>
      </c>
    </row>
    <row r="79" spans="2:13" x14ac:dyDescent="0.25">
      <c r="B79" s="18" t="s">
        <v>126</v>
      </c>
      <c r="C79" s="26">
        <v>682</v>
      </c>
      <c r="D79" s="26">
        <v>1471</v>
      </c>
      <c r="E79" s="26">
        <v>2784</v>
      </c>
      <c r="F79" s="40">
        <f>-(F28-E28)</f>
        <v>0</v>
      </c>
      <c r="G79" s="40">
        <f>-(G28-F28)</f>
        <v>0</v>
      </c>
      <c r="H79" s="40">
        <f>-(H28-G28)</f>
        <v>0</v>
      </c>
      <c r="I79" s="40">
        <f>-(I28-H28)</f>
        <v>0</v>
      </c>
      <c r="J79" s="40">
        <f>-(J28-I28)</f>
        <v>0</v>
      </c>
      <c r="M79" s="87"/>
    </row>
    <row r="80" spans="2:13" x14ac:dyDescent="0.25">
      <c r="B80" s="18" t="s">
        <v>127</v>
      </c>
      <c r="C80" s="26">
        <v>27</v>
      </c>
      <c r="D80" s="26">
        <v>147</v>
      </c>
      <c r="E80" s="26">
        <v>327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</row>
    <row r="81" spans="2:10" x14ac:dyDescent="0.25">
      <c r="B81" s="31" t="s">
        <v>124</v>
      </c>
      <c r="C81" s="32">
        <f t="shared" ref="C81:J81" si="14">SUM(C78:C80)</f>
        <v>-4362</v>
      </c>
      <c r="D81" s="32">
        <f t="shared" si="14"/>
        <v>-3202</v>
      </c>
      <c r="E81" s="32">
        <f t="shared" si="14"/>
        <v>-1439</v>
      </c>
      <c r="F81" s="32">
        <f t="shared" si="14"/>
        <v>-4137.5879999999997</v>
      </c>
      <c r="G81" s="32">
        <f t="shared" si="14"/>
        <v>-3674.1781440000004</v>
      </c>
      <c r="H81" s="32">
        <f t="shared" si="14"/>
        <v>-3439.9492873200011</v>
      </c>
      <c r="I81" s="32">
        <f t="shared" si="14"/>
        <v>-3125.4396381936003</v>
      </c>
      <c r="J81" s="32">
        <f t="shared" si="14"/>
        <v>-2734.759683419401</v>
      </c>
    </row>
    <row r="82" spans="2:10" x14ac:dyDescent="0.25">
      <c r="B82" s="39" t="s">
        <v>128</v>
      </c>
    </row>
    <row r="83" spans="2:10" x14ac:dyDescent="0.25">
      <c r="B83" s="18" t="s">
        <v>129</v>
      </c>
      <c r="C83" s="26">
        <v>2500</v>
      </c>
      <c r="D83" s="26">
        <v>2380</v>
      </c>
      <c r="E83" s="26">
        <v>449</v>
      </c>
      <c r="F83" s="25">
        <f>'Drivers &amp; Assumptions'!F27</f>
        <v>0</v>
      </c>
      <c r="G83" s="25">
        <f>'Drivers &amp; Assumptions'!G27</f>
        <v>0</v>
      </c>
      <c r="H83" s="25">
        <f>'Drivers &amp; Assumptions'!H27</f>
        <v>0</v>
      </c>
      <c r="I83" s="25">
        <f>'Drivers &amp; Assumptions'!I27</f>
        <v>0</v>
      </c>
      <c r="J83" s="25">
        <f>'Drivers &amp; Assumptions'!J27</f>
        <v>0</v>
      </c>
    </row>
    <row r="84" spans="2:10" x14ac:dyDescent="0.25">
      <c r="B84" s="18" t="s">
        <v>130</v>
      </c>
      <c r="C84" s="26">
        <v>-4557</v>
      </c>
      <c r="D84" s="26">
        <v>-4795</v>
      </c>
      <c r="E84" s="26">
        <v>-4999</v>
      </c>
      <c r="F84" s="25">
        <f>E84*(1+'Drivers &amp; Assumptions'!F30)</f>
        <v>-5243.951</v>
      </c>
      <c r="G84" s="25">
        <f>F84*(1+'Drivers &amp; Assumptions'!G30)</f>
        <v>-5500.9045989999995</v>
      </c>
      <c r="H84" s="25">
        <f>G84*(1+'Drivers &amp; Assumptions'!H30)</f>
        <v>-5770.4489243509988</v>
      </c>
      <c r="I84" s="25">
        <f>H84*(1+'Drivers &amp; Assumptions'!I30)</f>
        <v>-6053.2009216441975</v>
      </c>
      <c r="J84" s="25">
        <f>I84*(1+'Drivers &amp; Assumptions'!J30)</f>
        <v>-6349.8077668047627</v>
      </c>
    </row>
    <row r="85" spans="2:10" x14ac:dyDescent="0.25">
      <c r="B85" s="18" t="s">
        <v>131</v>
      </c>
      <c r="C85" s="26">
        <v>-293</v>
      </c>
      <c r="D85" s="26">
        <v>-929</v>
      </c>
      <c r="E85" s="26">
        <v>-1477</v>
      </c>
      <c r="F85" s="25">
        <f>-'Drivers &amp; Assumptions'!F31</f>
        <v>-800</v>
      </c>
      <c r="G85" s="25">
        <f>-'Drivers &amp; Assumptions'!G31</f>
        <v>-800</v>
      </c>
      <c r="H85" s="25">
        <f>-'Drivers &amp; Assumptions'!H31</f>
        <v>-1200</v>
      </c>
      <c r="I85" s="25">
        <f>-'Drivers &amp; Assumptions'!I31</f>
        <v>-1600</v>
      </c>
      <c r="J85" s="25">
        <f>-'Drivers &amp; Assumptions'!J31</f>
        <v>-2000</v>
      </c>
    </row>
    <row r="86" spans="2:10" x14ac:dyDescent="0.25">
      <c r="B86" s="18" t="s">
        <v>132</v>
      </c>
      <c r="C86" s="26">
        <v>206</v>
      </c>
      <c r="D86" s="26">
        <v>464</v>
      </c>
      <c r="E86" s="26">
        <v>338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</row>
    <row r="87" spans="2:10" x14ac:dyDescent="0.25">
      <c r="B87" s="31" t="s">
        <v>128</v>
      </c>
      <c r="C87" s="32">
        <f t="shared" ref="C87:J87" si="15">SUM(C83:C86)</f>
        <v>-2144</v>
      </c>
      <c r="D87" s="32">
        <f t="shared" si="15"/>
        <v>-2880</v>
      </c>
      <c r="E87" s="32">
        <f t="shared" si="15"/>
        <v>-5689</v>
      </c>
      <c r="F87" s="32">
        <f t="shared" si="15"/>
        <v>-6043.951</v>
      </c>
      <c r="G87" s="32">
        <f t="shared" si="15"/>
        <v>-6300.9045989999995</v>
      </c>
      <c r="H87" s="32">
        <f t="shared" si="15"/>
        <v>-6970.4489243509988</v>
      </c>
      <c r="I87" s="32">
        <f t="shared" si="15"/>
        <v>-7653.2009216441975</v>
      </c>
      <c r="J87" s="32">
        <f t="shared" si="15"/>
        <v>-8349.8077668047627</v>
      </c>
    </row>
    <row r="89" spans="2:10" x14ac:dyDescent="0.25">
      <c r="B89" s="31" t="s">
        <v>133</v>
      </c>
      <c r="C89" s="32">
        <f t="shared" ref="C89:J89" si="16">C76+C81+C87</f>
        <v>-86</v>
      </c>
      <c r="D89" s="32">
        <f t="shared" si="16"/>
        <v>236</v>
      </c>
      <c r="E89" s="32">
        <f t="shared" si="16"/>
        <v>25</v>
      </c>
      <c r="F89" s="32">
        <f t="shared" si="16"/>
        <v>-2109.9420668706889</v>
      </c>
      <c r="G89" s="32">
        <f t="shared" si="16"/>
        <v>-534.07921231577802</v>
      </c>
      <c r="H89" s="32">
        <f t="shared" si="16"/>
        <v>20.496117283147214</v>
      </c>
      <c r="I89" s="32">
        <f t="shared" si="16"/>
        <v>340.27267482875959</v>
      </c>
      <c r="J89" s="32">
        <f t="shared" si="16"/>
        <v>601.11055548064724</v>
      </c>
    </row>
    <row r="90" spans="2:10" x14ac:dyDescent="0.25">
      <c r="B90" s="18" t="s">
        <v>134</v>
      </c>
      <c r="C90" s="26">
        <v>3050</v>
      </c>
      <c r="D90" s="26">
        <v>2964</v>
      </c>
      <c r="E90" s="26">
        <v>3200</v>
      </c>
      <c r="F90" s="40">
        <f>E27</f>
        <v>3225</v>
      </c>
      <c r="G90" s="40">
        <f>F27</f>
        <v>1115.057933129312</v>
      </c>
      <c r="H90" s="40">
        <f>G27</f>
        <v>580.97872081353489</v>
      </c>
      <c r="I90" s="40">
        <f>H27</f>
        <v>601.47483809668847</v>
      </c>
      <c r="J90" s="40">
        <f>I27</f>
        <v>941.74751292545989</v>
      </c>
    </row>
    <row r="91" spans="2:10" x14ac:dyDescent="0.25">
      <c r="B91" s="33" t="s">
        <v>135</v>
      </c>
      <c r="C91" s="34">
        <f t="shared" ref="C91:J91" si="17">C90+C89</f>
        <v>2964</v>
      </c>
      <c r="D91" s="34">
        <f t="shared" si="17"/>
        <v>3200</v>
      </c>
      <c r="E91" s="34">
        <f t="shared" si="17"/>
        <v>3225</v>
      </c>
      <c r="F91" s="34">
        <f t="shared" si="17"/>
        <v>1115.0579331293111</v>
      </c>
      <c r="G91" s="34">
        <f t="shared" si="17"/>
        <v>580.97872081353398</v>
      </c>
      <c r="H91" s="34">
        <f t="shared" si="17"/>
        <v>601.47483809668211</v>
      </c>
      <c r="I91" s="34">
        <f t="shared" si="17"/>
        <v>941.74751292544806</v>
      </c>
      <c r="J91" s="34">
        <f t="shared" si="17"/>
        <v>1542.8580684061071</v>
      </c>
    </row>
    <row r="92" spans="2:10" x14ac:dyDescent="0.25">
      <c r="B92" s="42" t="s">
        <v>136</v>
      </c>
      <c r="C92" s="44" t="b">
        <f t="shared" ref="C92:J92" si="18">ROUND(C91,0)=ROUND(C27,0)</f>
        <v>1</v>
      </c>
      <c r="D92" s="44" t="b">
        <f t="shared" si="18"/>
        <v>1</v>
      </c>
      <c r="E92" s="44" t="b">
        <f t="shared" si="18"/>
        <v>1</v>
      </c>
      <c r="F92" s="44" t="b">
        <f t="shared" si="18"/>
        <v>1</v>
      </c>
      <c r="G92" s="44" t="b">
        <f t="shared" si="18"/>
        <v>1</v>
      </c>
      <c r="H92" s="44" t="b">
        <f t="shared" si="18"/>
        <v>1</v>
      </c>
      <c r="I92" s="44" t="b">
        <f t="shared" si="18"/>
        <v>1</v>
      </c>
      <c r="J92" s="44" t="b">
        <f t="shared" si="18"/>
        <v>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48"/>
  <sheetViews>
    <sheetView showGridLines="0" tabSelected="1" zoomScale="130" zoomScaleNormal="130" workbookViewId="0">
      <selection activeCell="A3" sqref="A3:XFD3"/>
    </sheetView>
  </sheetViews>
  <sheetFormatPr defaultColWidth="8.7109375" defaultRowHeight="15" x14ac:dyDescent="0.25"/>
  <cols>
    <col min="1" max="1" width="2.42578125" customWidth="1"/>
    <col min="2" max="2" width="38" customWidth="1"/>
    <col min="3" max="10" width="12" customWidth="1"/>
  </cols>
  <sheetData>
    <row r="2" spans="2:10" ht="18.75" customHeight="1" x14ac:dyDescent="0.25">
      <c r="B2" s="14" t="s">
        <v>137</v>
      </c>
    </row>
    <row r="4" spans="2:10" x14ac:dyDescent="0.25">
      <c r="B4" s="104" t="s">
        <v>138</v>
      </c>
      <c r="C4" s="17"/>
      <c r="D4" s="17"/>
      <c r="E4" s="17"/>
      <c r="F4" s="17"/>
      <c r="G4" s="17"/>
      <c r="H4" s="17"/>
      <c r="I4" s="17"/>
      <c r="J4" s="17"/>
    </row>
    <row r="5" spans="2:10" x14ac:dyDescent="0.25">
      <c r="B5" s="46" t="s">
        <v>139</v>
      </c>
      <c r="C5" s="35">
        <v>284.02</v>
      </c>
      <c r="D5" s="47"/>
    </row>
    <row r="6" spans="2:10" x14ac:dyDescent="0.25">
      <c r="B6" s="46" t="s">
        <v>140</v>
      </c>
      <c r="C6" s="48">
        <f>Model!E23</f>
        <v>913</v>
      </c>
    </row>
    <row r="7" spans="2:10" x14ac:dyDescent="0.25">
      <c r="B7" s="46" t="s">
        <v>141</v>
      </c>
      <c r="C7" s="49">
        <f>C5*C6</f>
        <v>259310.25999999998</v>
      </c>
    </row>
    <row r="8" spans="2:10" x14ac:dyDescent="0.25">
      <c r="B8" s="46" t="s">
        <v>142</v>
      </c>
      <c r="C8" s="48">
        <f>Model!E44+Model!E50</f>
        <v>14048</v>
      </c>
    </row>
    <row r="9" spans="2:10" x14ac:dyDescent="0.25">
      <c r="B9" s="46" t="s">
        <v>143</v>
      </c>
      <c r="C9" s="49">
        <f>C7+C8</f>
        <v>273358.26</v>
      </c>
    </row>
    <row r="10" spans="2:10" x14ac:dyDescent="0.25">
      <c r="B10" s="46" t="s">
        <v>144</v>
      </c>
      <c r="C10" s="50">
        <f>C7/C9</f>
        <v>0.94860956460580326</v>
      </c>
    </row>
    <row r="11" spans="2:10" x14ac:dyDescent="0.25">
      <c r="B11" s="46" t="s">
        <v>145</v>
      </c>
      <c r="C11" s="50">
        <f>C8/C9</f>
        <v>5.1390435394196611E-2</v>
      </c>
    </row>
    <row r="12" spans="2:10" x14ac:dyDescent="0.25">
      <c r="B12" s="46" t="s">
        <v>146</v>
      </c>
      <c r="C12" s="51">
        <v>4.5699999999999998E-2</v>
      </c>
      <c r="D12" s="52" t="s">
        <v>147</v>
      </c>
    </row>
    <row r="13" spans="2:10" x14ac:dyDescent="0.25">
      <c r="B13" s="46" t="s">
        <v>148</v>
      </c>
      <c r="C13" s="51">
        <v>4.1799999999999997E-2</v>
      </c>
      <c r="D13" s="52" t="s">
        <v>149</v>
      </c>
    </row>
    <row r="14" spans="2:10" x14ac:dyDescent="0.25">
      <c r="B14" s="46" t="s">
        <v>173</v>
      </c>
      <c r="C14" s="53">
        <v>1.31</v>
      </c>
      <c r="D14" s="52" t="s">
        <v>150</v>
      </c>
    </row>
    <row r="15" spans="2:10" x14ac:dyDescent="0.25">
      <c r="B15" s="102" t="s">
        <v>172</v>
      </c>
      <c r="C15" s="50">
        <f>C12+C14*C13</f>
        <v>0.10045799999999999</v>
      </c>
      <c r="D15" s="54"/>
      <c r="E15" s="54"/>
      <c r="F15" s="54"/>
      <c r="G15" s="54"/>
      <c r="H15" s="54"/>
      <c r="I15" s="54"/>
      <c r="J15" s="54"/>
    </row>
    <row r="16" spans="2:10" x14ac:dyDescent="0.25">
      <c r="B16" s="102" t="s">
        <v>151</v>
      </c>
      <c r="C16" s="55">
        <f>'Drivers &amp; Assumptions'!F26</f>
        <v>3.9E-2</v>
      </c>
      <c r="D16" s="43"/>
      <c r="E16" s="56"/>
      <c r="F16" s="43"/>
      <c r="G16" s="43"/>
    </row>
    <row r="17" spans="2:10" x14ac:dyDescent="0.25">
      <c r="B17" s="57" t="s">
        <v>152</v>
      </c>
      <c r="C17" s="58">
        <f>'Drivers &amp; Assumptions'!F13</f>
        <v>0.122</v>
      </c>
      <c r="D17" s="43"/>
      <c r="E17" s="43"/>
      <c r="F17" s="43"/>
      <c r="G17" s="43"/>
    </row>
    <row r="18" spans="2:10" x14ac:dyDescent="0.25">
      <c r="B18" s="59" t="s">
        <v>153</v>
      </c>
      <c r="C18" s="60">
        <f>C10*C15+C11*C16*(1-C17)</f>
        <v>9.7055130929937852E-2</v>
      </c>
      <c r="D18" s="32"/>
      <c r="E18" s="32"/>
      <c r="F18" s="32"/>
      <c r="G18" s="32"/>
    </row>
    <row r="19" spans="2:10" x14ac:dyDescent="0.25">
      <c r="D19" s="43"/>
      <c r="E19" s="43"/>
      <c r="F19" s="43"/>
      <c r="G19" s="43"/>
    </row>
    <row r="20" spans="2:10" x14ac:dyDescent="0.25">
      <c r="B20" s="18"/>
      <c r="C20" s="43"/>
      <c r="D20" s="43"/>
      <c r="E20" s="43"/>
      <c r="F20" s="43"/>
      <c r="G20" s="43"/>
    </row>
    <row r="21" spans="2:10" x14ac:dyDescent="0.25">
      <c r="B21" s="104" t="s">
        <v>176</v>
      </c>
      <c r="C21" s="106"/>
      <c r="D21" s="107" t="s">
        <v>33</v>
      </c>
      <c r="E21" s="107" t="s">
        <v>34</v>
      </c>
      <c r="F21" s="107" t="s">
        <v>35</v>
      </c>
      <c r="G21" s="107" t="s">
        <v>36</v>
      </c>
      <c r="H21" s="108" t="s">
        <v>37</v>
      </c>
      <c r="I21" s="61"/>
      <c r="J21" s="61"/>
    </row>
    <row r="22" spans="2:10" x14ac:dyDescent="0.25">
      <c r="B22" s="62" t="s">
        <v>155</v>
      </c>
      <c r="C22" s="63"/>
      <c r="D22" s="48">
        <f>Model!F15</f>
        <v>7364.9066399999974</v>
      </c>
      <c r="E22" s="48">
        <f>Model!G15</f>
        <v>8175.0463704000003</v>
      </c>
      <c r="F22" s="48">
        <f>Model!H15</f>
        <v>8747.2996163280004</v>
      </c>
      <c r="G22" s="48">
        <f>Model!I15</f>
        <v>9272.1375933076815</v>
      </c>
      <c r="H22" s="48">
        <f>Model!J15</f>
        <v>9735.7444729730632</v>
      </c>
    </row>
    <row r="23" spans="2:10" x14ac:dyDescent="0.25">
      <c r="B23" s="46" t="s">
        <v>152</v>
      </c>
      <c r="C23" s="63"/>
      <c r="D23" s="64">
        <f>'Drivers &amp; Assumptions'!F13</f>
        <v>0.122</v>
      </c>
      <c r="E23" s="64">
        <f>'Drivers &amp; Assumptions'!G13</f>
        <v>0.122</v>
      </c>
      <c r="F23" s="64">
        <f>'Drivers &amp; Assumptions'!H13</f>
        <v>0.122</v>
      </c>
      <c r="G23" s="64">
        <f>'Drivers &amp; Assumptions'!I13</f>
        <v>0.122</v>
      </c>
      <c r="H23" s="64">
        <f>'Drivers &amp; Assumptions'!J13</f>
        <v>0.122</v>
      </c>
    </row>
    <row r="24" spans="2:10" x14ac:dyDescent="0.25">
      <c r="B24" s="65" t="s">
        <v>156</v>
      </c>
      <c r="C24" s="32"/>
      <c r="D24" s="66">
        <f>D22*(1-D23)</f>
        <v>6466.3880299199982</v>
      </c>
      <c r="E24" s="66">
        <f>E22*(1-E23)</f>
        <v>7177.6907132112001</v>
      </c>
      <c r="F24" s="66">
        <f>F22*(1-F23)</f>
        <v>7680.1290631359843</v>
      </c>
      <c r="G24" s="66">
        <f>G22*(1-G23)</f>
        <v>8140.9368069241445</v>
      </c>
      <c r="H24" s="66">
        <f>H22*(1-H23)</f>
        <v>8547.98364727035</v>
      </c>
    </row>
    <row r="25" spans="2:10" x14ac:dyDescent="0.25">
      <c r="B25" s="46" t="s">
        <v>157</v>
      </c>
      <c r="D25" s="48">
        <f>Model!F69</f>
        <v>2057.44</v>
      </c>
      <c r="E25" s="48">
        <f>Model!G69</f>
        <v>2404.8247160000001</v>
      </c>
      <c r="F25" s="48">
        <f>Model!H69</f>
        <v>2616.8067384760002</v>
      </c>
      <c r="G25" s="48">
        <f>Model!I69</f>
        <v>2754.2715441329483</v>
      </c>
      <c r="H25" s="48">
        <f>Model!J69</f>
        <v>2816.2566158410773</v>
      </c>
    </row>
    <row r="26" spans="2:10" x14ac:dyDescent="0.25">
      <c r="B26" s="62" t="s">
        <v>158</v>
      </c>
      <c r="C26" s="54"/>
      <c r="D26" s="48">
        <f>-Model!F78</f>
        <v>4137.5879999999997</v>
      </c>
      <c r="E26" s="48">
        <f>-Model!G78</f>
        <v>3674.1781440000004</v>
      </c>
      <c r="F26" s="48">
        <f>-Model!H78</f>
        <v>3439.9492873200011</v>
      </c>
      <c r="G26" s="48">
        <f>-Model!I78</f>
        <v>3125.4396381936003</v>
      </c>
      <c r="H26" s="48">
        <f>-Model!J78</f>
        <v>2734.759683419401</v>
      </c>
      <c r="I26" s="54"/>
      <c r="J26" s="54"/>
    </row>
    <row r="27" spans="2:10" x14ac:dyDescent="0.25">
      <c r="B27" s="62" t="s">
        <v>159</v>
      </c>
      <c r="C27" s="21"/>
      <c r="D27" s="48">
        <f>(Model!F29+Model!F30+Model!F31-Model!F45-Model!F46-Model!F47-Model!F48)-(Model!E29+Model!E30+Model!E31-Model!E45-Model!E46-Model!E47-Model!E48)</f>
        <v>807.97174115068447</v>
      </c>
      <c r="E27" s="48">
        <f>(Model!G29+Model!G30+Model!G31-Model!G45-Model!G46-Model!G47-Model!G48)-(Model!F29+Model!F30+Model!F31-Model!F45-Model!F46-Model!F47-Model!F48)</f>
        <v>543.20749152657663</v>
      </c>
      <c r="F27" s="48">
        <f>(Model!H29+Model!H30+Model!H31-Model!H45-Model!H46-Model!H47-Model!H48)-(Model!G29+Model!G30+Model!G31-Model!G45-Model!G46-Model!G47-Model!G48)</f>
        <v>300.19797028740959</v>
      </c>
      <c r="G27" s="48">
        <f>(Model!I29+Model!I30+Model!I31-Model!I45-Model!I46-Model!I47-Model!I48)-(Model!H29+Model!H30+Model!H31-Model!H45-Model!H46-Model!H47-Model!H48)</f>
        <v>240.22290083787993</v>
      </c>
      <c r="H27" s="48">
        <f>(Model!J29+Model!J30+Model!J31-Model!J45-Model!J46-Model!J47-Model!J48)-(Model!I29+Model!I30+Model!I31-Model!I45-Model!I46-Model!I47-Model!I48)</f>
        <v>168.78801187632871</v>
      </c>
    </row>
    <row r="28" spans="2:10" x14ac:dyDescent="0.25">
      <c r="B28" s="59" t="s">
        <v>154</v>
      </c>
      <c r="C28" s="40"/>
      <c r="D28" s="67">
        <f>D24+D25-D26-D27</f>
        <v>3578.2682887693136</v>
      </c>
      <c r="E28" s="67">
        <f>E24+E25-E26-E27</f>
        <v>5365.1297936846231</v>
      </c>
      <c r="F28" s="67">
        <f>F24+F25-F26-F27</f>
        <v>6556.7885440045729</v>
      </c>
      <c r="G28" s="67">
        <f>G24+G25-G26-G27</f>
        <v>7529.5458120256117</v>
      </c>
      <c r="H28" s="67">
        <f>H24+H25-H26-H27</f>
        <v>8460.6925678156986</v>
      </c>
    </row>
    <row r="29" spans="2:10" x14ac:dyDescent="0.25">
      <c r="B29" s="62" t="s">
        <v>160</v>
      </c>
      <c r="C29" s="40"/>
      <c r="D29" s="49">
        <v>1</v>
      </c>
      <c r="E29" s="49">
        <v>2</v>
      </c>
      <c r="F29" s="49">
        <v>3</v>
      </c>
      <c r="G29" s="49">
        <v>4</v>
      </c>
      <c r="H29" s="49">
        <v>5</v>
      </c>
    </row>
    <row r="30" spans="2:10" x14ac:dyDescent="0.25">
      <c r="B30" s="62" t="s">
        <v>161</v>
      </c>
      <c r="C30" s="40"/>
      <c r="D30" s="103">
        <f>1/(1+$C$18)^D29</f>
        <v>0.91153121826460315</v>
      </c>
      <c r="E30" s="103">
        <f>1/(1+$C$18)^E29</f>
        <v>0.83088916187095163</v>
      </c>
      <c r="F30" s="103">
        <f>1/(1+$C$18)^F29</f>
        <v>0.75738140996308356</v>
      </c>
      <c r="G30" s="103">
        <f>1/(1+$C$18)^G29</f>
        <v>0.69037679931461238</v>
      </c>
      <c r="H30" s="103">
        <f>1/(1+$C$18)^H29</f>
        <v>0.62930000494086602</v>
      </c>
    </row>
    <row r="31" spans="2:10" x14ac:dyDescent="0.25">
      <c r="B31" s="68" t="s">
        <v>162</v>
      </c>
      <c r="C31" s="69"/>
      <c r="D31" s="49">
        <f>D28*D30</f>
        <v>3261.7032525394893</v>
      </c>
      <c r="E31" s="49">
        <f>E28*E30</f>
        <v>4457.8281976034878</v>
      </c>
      <c r="F31" s="49">
        <f>F28*F30</f>
        <v>4965.9897522879774</v>
      </c>
      <c r="G31" s="49">
        <f>G28*G30</f>
        <v>5198.2237379989856</v>
      </c>
      <c r="H31" s="49">
        <f>H28*H30</f>
        <v>5324.3138747295679</v>
      </c>
    </row>
    <row r="32" spans="2:10" x14ac:dyDescent="0.25">
      <c r="B32" s="18"/>
      <c r="C32" s="40"/>
    </row>
    <row r="33" spans="2:10" x14ac:dyDescent="0.25">
      <c r="B33" s="104" t="s">
        <v>177</v>
      </c>
      <c r="C33" s="105"/>
      <c r="D33" s="78"/>
      <c r="E33" s="104" t="s">
        <v>178</v>
      </c>
      <c r="F33" s="61"/>
      <c r="G33" s="61"/>
      <c r="H33" s="61"/>
      <c r="I33" s="61"/>
      <c r="J33" s="61"/>
    </row>
    <row r="34" spans="2:10" x14ac:dyDescent="0.25">
      <c r="B34" s="62" t="s">
        <v>163</v>
      </c>
      <c r="C34" s="70">
        <v>0.03</v>
      </c>
    </row>
    <row r="35" spans="2:10" x14ac:dyDescent="0.25">
      <c r="B35" s="71" t="s">
        <v>164</v>
      </c>
      <c r="C35" s="72">
        <f>H28*(1+C34)/(C18-C34)</f>
        <v>129960.42545879861</v>
      </c>
      <c r="E35" s="83">
        <f>C42</f>
        <v>104.95635837732586</v>
      </c>
      <c r="F35" s="84">
        <v>0.02</v>
      </c>
      <c r="G35" s="84">
        <v>2.5000000000000001E-2</v>
      </c>
      <c r="H35" s="84">
        <v>0.03</v>
      </c>
      <c r="I35" s="84">
        <v>3.5000000000000003E-2</v>
      </c>
      <c r="J35" s="84">
        <v>0.04</v>
      </c>
    </row>
    <row r="36" spans="2:10" x14ac:dyDescent="0.25">
      <c r="B36" s="62" t="s">
        <v>165</v>
      </c>
      <c r="C36" s="49">
        <f>C35*H30</f>
        <v>81784.096383339012</v>
      </c>
      <c r="E36" s="85">
        <v>7.6999999999999999E-2</v>
      </c>
      <c r="F36" s="86">
        <f t="dataTable" ref="F36:J40" dt2D="1" dtr="1" r1="C34" r2="C18"/>
        <v>131.37936599635782</v>
      </c>
      <c r="G36" s="86">
        <v>142.99824231932777</v>
      </c>
      <c r="H36" s="86">
        <v>157.08921998761053</v>
      </c>
      <c r="I36" s="86">
        <v>174.53519233881772</v>
      </c>
      <c r="J36" s="86">
        <v>196.69629235251341</v>
      </c>
    </row>
    <row r="37" spans="2:10" x14ac:dyDescent="0.25">
      <c r="B37" s="62" t="s">
        <v>166</v>
      </c>
      <c r="C37" s="49">
        <f>SUM(D31:H31)</f>
        <v>23208.058815159508</v>
      </c>
      <c r="E37" s="85">
        <v>8.6999999999999994E-2</v>
      </c>
      <c r="F37" s="86">
        <v>109.10711639718366</v>
      </c>
      <c r="G37" s="86">
        <v>117.09663243443704</v>
      </c>
      <c r="H37" s="86">
        <v>126.48781795191032</v>
      </c>
      <c r="I37" s="86">
        <v>137.6850006842823</v>
      </c>
      <c r="J37" s="86">
        <v>151.26456272141431</v>
      </c>
    </row>
    <row r="38" spans="2:10" x14ac:dyDescent="0.25">
      <c r="B38" s="73" t="s">
        <v>167</v>
      </c>
      <c r="C38" s="67">
        <f>C37+C36</f>
        <v>104992.15519849851</v>
      </c>
      <c r="E38" s="85">
        <v>9.7000000000000003E-2</v>
      </c>
      <c r="F38" s="86">
        <v>92.653230349400275</v>
      </c>
      <c r="G38" s="86">
        <v>98.424287956432664</v>
      </c>
      <c r="H38" s="86">
        <v>105.05669744511177</v>
      </c>
      <c r="I38" s="86">
        <v>112.7588503997068</v>
      </c>
      <c r="J38" s="86">
        <v>121.81225825861681</v>
      </c>
    </row>
    <row r="39" spans="2:10" x14ac:dyDescent="0.25">
      <c r="B39" s="74" t="s">
        <v>168</v>
      </c>
      <c r="C39" s="48">
        <f>Model!E44+Model!E50-Model!E27-Model!E28</f>
        <v>9167</v>
      </c>
      <c r="D39" s="54"/>
      <c r="E39" s="85">
        <v>0.107</v>
      </c>
      <c r="F39" s="86">
        <v>80.010061078867452</v>
      </c>
      <c r="G39" s="86">
        <v>84.335015678154363</v>
      </c>
      <c r="H39" s="86">
        <v>89.221652692933091</v>
      </c>
      <c r="I39" s="86">
        <v>94.786989293097747</v>
      </c>
      <c r="J39" s="86">
        <v>101.18297314701832</v>
      </c>
    </row>
    <row r="40" spans="2:10" x14ac:dyDescent="0.25">
      <c r="B40" s="73" t="s">
        <v>169</v>
      </c>
      <c r="C40" s="75">
        <f>C38-C39</f>
        <v>95825.155198498513</v>
      </c>
      <c r="D40" s="76"/>
      <c r="E40" s="85">
        <v>0.11700000000000001</v>
      </c>
      <c r="F40" s="86">
        <v>69.997921996493943</v>
      </c>
      <c r="G40" s="86">
        <v>73.333206512846004</v>
      </c>
      <c r="H40" s="86">
        <v>77.051857065560412</v>
      </c>
      <c r="I40" s="86">
        <v>81.224001588118014</v>
      </c>
      <c r="J40" s="86">
        <v>85.937983061657121</v>
      </c>
    </row>
    <row r="41" spans="2:10" x14ac:dyDescent="0.25">
      <c r="B41" s="77" t="s">
        <v>140</v>
      </c>
      <c r="C41" s="48">
        <f>Model!E23</f>
        <v>913</v>
      </c>
      <c r="D41" s="78"/>
      <c r="E41" s="78"/>
      <c r="F41" s="78"/>
      <c r="G41" s="78"/>
    </row>
    <row r="42" spans="2:10" x14ac:dyDescent="0.25">
      <c r="B42" s="79" t="s">
        <v>170</v>
      </c>
      <c r="C42" s="80">
        <f>C40/C41</f>
        <v>104.95635837732586</v>
      </c>
      <c r="D42" s="78"/>
      <c r="E42" s="78"/>
      <c r="F42" s="78"/>
      <c r="G42" s="78"/>
    </row>
    <row r="43" spans="2:10" x14ac:dyDescent="0.25">
      <c r="B43" s="77" t="s">
        <v>171</v>
      </c>
      <c r="C43" s="81">
        <f>C5</f>
        <v>284.02</v>
      </c>
      <c r="D43" s="78"/>
      <c r="E43" s="78"/>
      <c r="F43" s="78"/>
      <c r="G43" s="78"/>
    </row>
    <row r="44" spans="2:10" x14ac:dyDescent="0.25">
      <c r="B44" s="77" t="s">
        <v>175</v>
      </c>
      <c r="C44" s="50">
        <f>C42/C43-1</f>
        <v>-0.63046138167267851</v>
      </c>
      <c r="D44" s="78"/>
      <c r="E44" s="78"/>
      <c r="F44" s="78"/>
      <c r="G44" s="78"/>
    </row>
    <row r="45" spans="2:10" x14ac:dyDescent="0.25">
      <c r="B45" s="76"/>
      <c r="C45" s="78"/>
      <c r="D45" s="78"/>
      <c r="E45" s="78"/>
      <c r="F45" s="78"/>
      <c r="G45" s="78"/>
    </row>
    <row r="48" spans="2:10" x14ac:dyDescent="0.25">
      <c r="B48" s="82"/>
    </row>
  </sheetData>
  <conditionalFormatting sqref="F36:J40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Drivers &amp; Assumptions</vt:lpstr>
      <vt:lpstr>Model</vt:lpstr>
      <vt:lpstr>Valuation (DCF &amp; WACC)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靖棠 沈</dc:creator>
  <cp:lastModifiedBy>靖棠 沈</cp:lastModifiedBy>
  <cp:revision>0</cp:revision>
  <dcterms:created xsi:type="dcterms:W3CDTF">2026-07-07T03:18:13Z</dcterms:created>
  <dcterms:modified xsi:type="dcterms:W3CDTF">2026-07-20T15:47:09Z</dcterms:modified>
  <dc:language>en-US</dc:language>
</cp:coreProperties>
</file>